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filterPrivacy="1" defaultThemeVersion="124226"/>
  <xr:revisionPtr revIDLastSave="0" documentId="13_ncr:1_{8B12AF2C-706F-4E98-B685-A6223D77C6C0}" xr6:coauthVersionLast="34" xr6:coauthVersionMax="34" xr10:uidLastSave="{00000000-0000-0000-0000-000000000000}"/>
  <bookViews>
    <workbookView xWindow="0" yWindow="0" windowWidth="23040" windowHeight="8784" tabRatio="835" activeTab="1" xr2:uid="{00000000-000D-0000-FFFF-FFFF00000000}"/>
  </bookViews>
  <sheets>
    <sheet name="Naslovna" sheetId="1" r:id="rId1"/>
    <sheet name="1. Građ.-obrt. radovi" sheetId="2" r:id="rId2"/>
    <sheet name="2. Vodovod i kanalizacija" sheetId="3" r:id="rId3"/>
    <sheet name="3. Lift" sheetId="7" r:id="rId4"/>
    <sheet name="4. Elektro instalaterski radovi" sheetId="10" r:id="rId5"/>
    <sheet name="5. IT oprema i sustavi" sheetId="9" r:id="rId6"/>
    <sheet name="6. Strojarski radovi" sheetId="12" r:id="rId7"/>
    <sheet name="7. Niskogradnja" sheetId="4" r:id="rId8"/>
    <sheet name="Rekapitulacija" sheetId="11" r:id="rId9"/>
  </sheets>
  <externalReferences>
    <externalReference r:id="rId10"/>
  </externalReferences>
  <definedNames>
    <definedName name="_xlnm._FilterDatabase" localSheetId="3" hidden="1">'3. Lift'!$B$1:$F$80</definedName>
    <definedName name="OLE_LINK1" localSheetId="3">'3. Lift'!#REF!</definedName>
    <definedName name="REALIZACIJA_1997">'[1]Osn-Pod'!$E$5</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33" i="2" l="1"/>
  <c r="I10" i="2"/>
  <c r="G131" i="2"/>
  <c r="F1047" i="12" l="1"/>
  <c r="F1042" i="12"/>
  <c r="F1039" i="12"/>
  <c r="F1036" i="12"/>
  <c r="F1032" i="12"/>
  <c r="F1028" i="12"/>
  <c r="F1019" i="12"/>
  <c r="F1013" i="12"/>
  <c r="F1000" i="12"/>
  <c r="F997" i="12"/>
  <c r="F993" i="12"/>
  <c r="F983" i="12"/>
  <c r="F981" i="12"/>
  <c r="F968" i="12"/>
  <c r="F962" i="12"/>
  <c r="F957" i="12"/>
  <c r="F935" i="12"/>
  <c r="F929" i="12"/>
  <c r="F923" i="12"/>
  <c r="F919" i="12"/>
  <c r="F915" i="12"/>
  <c r="F911" i="12"/>
  <c r="F907" i="12"/>
  <c r="F902" i="12"/>
  <c r="F890" i="12"/>
  <c r="F886" i="12"/>
  <c r="F885" i="12"/>
  <c r="F884" i="12"/>
  <c r="F877" i="12"/>
  <c r="F872" i="12"/>
  <c r="F871" i="12"/>
  <c r="F870" i="12"/>
  <c r="F869" i="12"/>
  <c r="F859" i="12"/>
  <c r="F852" i="12"/>
  <c r="F850" i="12"/>
  <c r="F848" i="12"/>
  <c r="F846" i="12"/>
  <c r="F844" i="12"/>
  <c r="F840" i="12"/>
  <c r="F839" i="12"/>
  <c r="F838" i="12"/>
  <c r="F837" i="12"/>
  <c r="F836" i="12"/>
  <c r="F835" i="12"/>
  <c r="F834" i="12"/>
  <c r="F833" i="12"/>
  <c r="F832" i="12"/>
  <c r="F831" i="12"/>
  <c r="F830" i="12"/>
  <c r="F829" i="12"/>
  <c r="F828" i="12"/>
  <c r="F827" i="12"/>
  <c r="F826" i="12"/>
  <c r="F825" i="12"/>
  <c r="F824" i="12"/>
  <c r="F823" i="12"/>
  <c r="F822" i="12"/>
  <c r="F821" i="12"/>
  <c r="F820" i="12"/>
  <c r="F819" i="12"/>
  <c r="F818" i="12"/>
  <c r="F817" i="12"/>
  <c r="F816" i="12"/>
  <c r="F815" i="12"/>
  <c r="F814" i="12"/>
  <c r="F813" i="12"/>
  <c r="F812" i="12"/>
  <c r="F811" i="12"/>
  <c r="F810" i="12"/>
  <c r="F807" i="12"/>
  <c r="F806" i="12"/>
  <c r="F805" i="12"/>
  <c r="F804" i="12"/>
  <c r="F803" i="12"/>
  <c r="F802" i="12"/>
  <c r="F801" i="12"/>
  <c r="F800" i="12"/>
  <c r="F799" i="12"/>
  <c r="F798" i="12"/>
  <c r="F790" i="12"/>
  <c r="F788" i="12"/>
  <c r="F785" i="12"/>
  <c r="F775" i="12"/>
  <c r="F772" i="12"/>
  <c r="F763" i="12"/>
  <c r="F737" i="12"/>
  <c r="F734" i="12"/>
  <c r="F729" i="12"/>
  <c r="F726" i="12"/>
  <c r="F722" i="12"/>
  <c r="F718" i="12"/>
  <c r="F714" i="12"/>
  <c r="F710" i="12"/>
  <c r="F706" i="12"/>
  <c r="F702" i="12"/>
  <c r="F698" i="12"/>
  <c r="F684" i="12"/>
  <c r="F682" i="12"/>
  <c r="F680" i="12"/>
  <c r="F678" i="12"/>
  <c r="F676" i="12"/>
  <c r="F674" i="12"/>
  <c r="F672" i="12"/>
  <c r="F670" i="12"/>
  <c r="F668" i="12"/>
  <c r="F666" i="12"/>
  <c r="F664" i="12"/>
  <c r="F643" i="12"/>
  <c r="F639" i="12"/>
  <c r="F634" i="12"/>
  <c r="F633" i="12"/>
  <c r="F632" i="12"/>
  <c r="F631" i="12"/>
  <c r="F630" i="12"/>
  <c r="F627" i="12"/>
  <c r="F626" i="12"/>
  <c r="F625" i="12"/>
  <c r="F624" i="12"/>
  <c r="F623" i="12"/>
  <c r="F622" i="12"/>
  <c r="F621" i="12"/>
  <c r="F620" i="12"/>
  <c r="F619" i="12"/>
  <c r="F618" i="12"/>
  <c r="F617" i="12"/>
  <c r="F616" i="12"/>
  <c r="F615" i="12"/>
  <c r="F614" i="12"/>
  <c r="F613" i="12"/>
  <c r="F612" i="12"/>
  <c r="F611" i="12"/>
  <c r="F610" i="12"/>
  <c r="F607" i="12"/>
  <c r="F606" i="12"/>
  <c r="F605" i="12"/>
  <c r="F604" i="12"/>
  <c r="F603" i="12"/>
  <c r="F588" i="12"/>
  <c r="F583" i="12"/>
  <c r="F578" i="12"/>
  <c r="F573" i="12"/>
  <c r="F568" i="12"/>
  <c r="F562" i="12"/>
  <c r="F558" i="12"/>
  <c r="F557" i="12"/>
  <c r="F556" i="12"/>
  <c r="F524" i="12"/>
  <c r="F523" i="12"/>
  <c r="F522" i="12"/>
  <c r="F521" i="12"/>
  <c r="F518" i="12"/>
  <c r="F517" i="12"/>
  <c r="F514" i="12"/>
  <c r="F513" i="12"/>
  <c r="F512" i="12"/>
  <c r="F511" i="12"/>
  <c r="F510" i="12"/>
  <c r="F507" i="12"/>
  <c r="F506" i="12"/>
  <c r="F503" i="12"/>
  <c r="F502" i="12"/>
  <c r="F479" i="12"/>
  <c r="F475" i="12"/>
  <c r="F470" i="12"/>
  <c r="F467" i="12"/>
  <c r="F463" i="12"/>
  <c r="F459" i="12"/>
  <c r="F455" i="12"/>
  <c r="F451" i="12"/>
  <c r="F447" i="12"/>
  <c r="F442" i="12"/>
  <c r="F427" i="12"/>
  <c r="F426" i="12"/>
  <c r="F425" i="12"/>
  <c r="F424" i="12"/>
  <c r="F405" i="12"/>
  <c r="F401" i="12"/>
  <c r="F396" i="12"/>
  <c r="F392" i="12"/>
  <c r="F388" i="12"/>
  <c r="F384" i="12"/>
  <c r="F378" i="12"/>
  <c r="F373" i="12"/>
  <c r="F369" i="12"/>
  <c r="F361" i="12"/>
  <c r="F353" i="12"/>
  <c r="F345" i="12"/>
  <c r="F337" i="12"/>
  <c r="F326" i="12"/>
  <c r="F325" i="12"/>
  <c r="F324" i="12"/>
  <c r="F317" i="12"/>
  <c r="F312" i="12"/>
  <c r="F307" i="12"/>
  <c r="F306" i="12"/>
  <c r="F305" i="12"/>
  <c r="F304" i="12"/>
  <c r="F299" i="12"/>
  <c r="F295" i="12"/>
  <c r="F290" i="12"/>
  <c r="F285" i="12"/>
  <c r="F284" i="12"/>
  <c r="F283" i="12"/>
  <c r="F282" i="12"/>
  <c r="F277" i="12"/>
  <c r="F276" i="12"/>
  <c r="F275" i="12"/>
  <c r="F274" i="12"/>
  <c r="F273" i="12"/>
  <c r="F268" i="12"/>
  <c r="F260" i="12"/>
  <c r="F255" i="12"/>
  <c r="F247" i="12"/>
  <c r="F245" i="12"/>
  <c r="F243" i="12"/>
  <c r="F241" i="12"/>
  <c r="F239" i="12"/>
  <c r="F237" i="12"/>
  <c r="F235" i="12"/>
  <c r="F233" i="12"/>
  <c r="F231" i="12"/>
  <c r="F229" i="12"/>
  <c r="F227" i="12"/>
  <c r="F210" i="12"/>
  <c r="F206" i="12"/>
  <c r="F187" i="12"/>
  <c r="F182" i="12"/>
  <c r="F178" i="12"/>
  <c r="F173" i="12"/>
  <c r="F169" i="12"/>
  <c r="F164" i="12"/>
  <c r="F160" i="12"/>
  <c r="F156" i="12"/>
  <c r="F146" i="12"/>
  <c r="F138" i="12"/>
  <c r="F130" i="12"/>
  <c r="F129" i="12"/>
  <c r="F121" i="12"/>
  <c r="F120" i="12"/>
  <c r="F119" i="12"/>
  <c r="F103" i="12"/>
  <c r="F98" i="12"/>
  <c r="F97" i="12"/>
  <c r="F92" i="12"/>
  <c r="F87" i="12"/>
  <c r="F71" i="12"/>
  <c r="F66" i="12"/>
  <c r="F65" i="12"/>
  <c r="F64" i="12"/>
  <c r="F63" i="12"/>
  <c r="F55" i="12"/>
  <c r="F52" i="12"/>
  <c r="E150" i="12" l="1"/>
  <c r="E1067" i="12" s="1"/>
  <c r="E648" i="12"/>
  <c r="E1082" i="12" s="1"/>
  <c r="E894" i="12"/>
  <c r="E1091" i="12" s="1"/>
  <c r="F529" i="12"/>
  <c r="E1080" i="12" s="1"/>
  <c r="E434" i="12"/>
  <c r="E1075" i="12" s="1"/>
  <c r="F690" i="12"/>
  <c r="E1084" i="12" s="1"/>
  <c r="E483" i="12"/>
  <c r="E1076" i="12" s="1"/>
  <c r="E411" i="12"/>
  <c r="E1074" i="12" s="1"/>
  <c r="E216" i="12"/>
  <c r="E1072" i="12" s="1"/>
  <c r="E973" i="12"/>
  <c r="E1096" i="12" s="1"/>
  <c r="E939" i="12"/>
  <c r="E1092" i="12" s="1"/>
  <c r="E1005" i="12"/>
  <c r="E1097" i="12" s="1"/>
  <c r="E1052" i="12"/>
  <c r="E1098" i="12" s="1"/>
  <c r="E107" i="12"/>
  <c r="E1066" i="12" s="1"/>
  <c r="E192" i="12"/>
  <c r="E1068" i="12" s="1"/>
  <c r="F593" i="12"/>
  <c r="E1081" i="12" s="1"/>
  <c r="F741" i="12"/>
  <c r="E1086" i="12" s="1"/>
  <c r="D10" i="11"/>
  <c r="F313" i="10"/>
  <c r="F312" i="10"/>
  <c r="F309" i="10"/>
  <c r="F306" i="10"/>
  <c r="F305" i="10"/>
  <c r="F304" i="10"/>
  <c r="F303" i="10"/>
  <c r="F302" i="10"/>
  <c r="F301" i="10"/>
  <c r="F300" i="10"/>
  <c r="F299" i="10"/>
  <c r="F298" i="10"/>
  <c r="F297" i="10"/>
  <c r="F296" i="10"/>
  <c r="F295" i="10"/>
  <c r="F294" i="10"/>
  <c r="F293" i="10"/>
  <c r="F292" i="10"/>
  <c r="F291" i="10"/>
  <c r="F290" i="10"/>
  <c r="F289" i="10"/>
  <c r="F288" i="10"/>
  <c r="F287" i="10"/>
  <c r="F286" i="10"/>
  <c r="F285" i="10"/>
  <c r="F284" i="10"/>
  <c r="F279" i="10"/>
  <c r="F278" i="10"/>
  <c r="F277" i="10"/>
  <c r="F276" i="10"/>
  <c r="F275" i="10"/>
  <c r="F274" i="10"/>
  <c r="F273" i="10"/>
  <c r="F269" i="10"/>
  <c r="F268" i="10"/>
  <c r="F267" i="10"/>
  <c r="F266" i="10"/>
  <c r="F265" i="10"/>
  <c r="F263" i="10"/>
  <c r="F262" i="10"/>
  <c r="F261" i="10"/>
  <c r="F260" i="10"/>
  <c r="F258" i="10"/>
  <c r="F257" i="10"/>
  <c r="F256" i="10"/>
  <c r="F255" i="10"/>
  <c r="F254" i="10"/>
  <c r="F253" i="10"/>
  <c r="F252" i="10"/>
  <c r="F251" i="10"/>
  <c r="F246" i="10"/>
  <c r="F245" i="10"/>
  <c r="F244" i="10"/>
  <c r="F243" i="10"/>
  <c r="F242" i="10"/>
  <c r="F240" i="10"/>
  <c r="F239" i="10"/>
  <c r="F238" i="10"/>
  <c r="F236" i="10"/>
  <c r="F235" i="10"/>
  <c r="F232" i="10"/>
  <c r="F229" i="10"/>
  <c r="F226" i="10"/>
  <c r="F223" i="10"/>
  <c r="F217" i="10"/>
  <c r="F216" i="10"/>
  <c r="F214" i="10"/>
  <c r="F211" i="10"/>
  <c r="F208" i="10"/>
  <c r="F205" i="10"/>
  <c r="F202" i="10"/>
  <c r="F199" i="10"/>
  <c r="F196" i="10"/>
  <c r="F193" i="10"/>
  <c r="F190" i="10"/>
  <c r="F184" i="10"/>
  <c r="F183" i="10"/>
  <c r="F182" i="10"/>
  <c r="F180" i="10"/>
  <c r="F179" i="10"/>
  <c r="F178" i="10"/>
  <c r="F176" i="10"/>
  <c r="F175" i="10"/>
  <c r="F174" i="10"/>
  <c r="F173" i="10"/>
  <c r="F172" i="10"/>
  <c r="F171" i="10"/>
  <c r="F170" i="10"/>
  <c r="F169" i="10"/>
  <c r="F166" i="10"/>
  <c r="F165" i="10"/>
  <c r="F164" i="10"/>
  <c r="F163" i="10"/>
  <c r="F162" i="10"/>
  <c r="F161" i="10"/>
  <c r="F160" i="10"/>
  <c r="F159" i="10"/>
  <c r="F158" i="10"/>
  <c r="F157" i="10"/>
  <c r="F156" i="10"/>
  <c r="F155" i="10"/>
  <c r="F154" i="10"/>
  <c r="F153" i="10"/>
  <c r="F152" i="10"/>
  <c r="F151" i="10"/>
  <c r="F150" i="10"/>
  <c r="F149" i="10"/>
  <c r="F147" i="10"/>
  <c r="F146" i="10"/>
  <c r="F145" i="10"/>
  <c r="F144" i="10"/>
  <c r="F143" i="10"/>
  <c r="F142" i="10"/>
  <c r="F141" i="10"/>
  <c r="F140" i="10"/>
  <c r="F139" i="10"/>
  <c r="F138" i="10"/>
  <c r="F137" i="10"/>
  <c r="F136" i="10"/>
  <c r="F135" i="10"/>
  <c r="F134" i="10"/>
  <c r="F132" i="10"/>
  <c r="F131" i="10"/>
  <c r="F130" i="10"/>
  <c r="F129" i="10"/>
  <c r="F128" i="10"/>
  <c r="F127" i="10"/>
  <c r="F126" i="10"/>
  <c r="F125" i="10"/>
  <c r="F124" i="10"/>
  <c r="F123" i="10"/>
  <c r="F122" i="10"/>
  <c r="F121" i="10"/>
  <c r="F117" i="10"/>
  <c r="F116" i="10"/>
  <c r="F115" i="10"/>
  <c r="F114" i="10"/>
  <c r="F113" i="10"/>
  <c r="F112" i="10"/>
  <c r="F110" i="10"/>
  <c r="F109" i="10"/>
  <c r="F108" i="10"/>
  <c r="F107" i="10"/>
  <c r="F106" i="10"/>
  <c r="F105" i="10"/>
  <c r="F104" i="10"/>
  <c r="F103" i="10"/>
  <c r="F102" i="10"/>
  <c r="F100" i="10"/>
  <c r="F99" i="10"/>
  <c r="F98" i="10"/>
  <c r="F97" i="10"/>
  <c r="F96" i="10"/>
  <c r="F95" i="10"/>
  <c r="F94" i="10"/>
  <c r="F93" i="10"/>
  <c r="F92" i="10"/>
  <c r="F91" i="10"/>
  <c r="F90" i="10"/>
  <c r="F89" i="10"/>
  <c r="F88"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6" i="10"/>
  <c r="F55" i="10"/>
  <c r="F54" i="10"/>
  <c r="F53" i="10"/>
  <c r="F57" i="10" s="1"/>
  <c r="F50" i="10"/>
  <c r="F49" i="10"/>
  <c r="F48" i="10"/>
  <c r="F47" i="10"/>
  <c r="F46" i="10"/>
  <c r="F45" i="10"/>
  <c r="F44" i="10"/>
  <c r="F42" i="10"/>
  <c r="F41" i="10"/>
  <c r="F40" i="10"/>
  <c r="F39" i="10"/>
  <c r="F38" i="10"/>
  <c r="F37" i="10"/>
  <c r="F36" i="10"/>
  <c r="F35" i="10"/>
  <c r="F33" i="10"/>
  <c r="F32" i="10"/>
  <c r="F26" i="10"/>
  <c r="F18" i="10"/>
  <c r="F17" i="10"/>
  <c r="F11" i="10"/>
  <c r="F10" i="10"/>
  <c r="F9" i="10"/>
  <c r="F8" i="10"/>
  <c r="F7" i="10"/>
  <c r="F51" i="10" l="1"/>
  <c r="F329" i="10" s="1"/>
  <c r="F340" i="10"/>
  <c r="F218" i="10"/>
  <c r="F335" i="10" s="1"/>
  <c r="D1101" i="12"/>
  <c r="D13" i="11" s="1"/>
  <c r="F330" i="10"/>
  <c r="F118" i="10"/>
  <c r="F332" i="10" s="1"/>
  <c r="F167" i="10"/>
  <c r="F333" i="10" s="1"/>
  <c r="F185" i="10"/>
  <c r="F334" i="10" s="1"/>
  <c r="F281" i="10"/>
  <c r="F338" i="10" s="1"/>
  <c r="F84" i="10"/>
  <c r="F331" i="10" s="1"/>
  <c r="F247" i="10"/>
  <c r="F336" i="10" s="1"/>
  <c r="F270" i="10"/>
  <c r="F337" i="10" s="1"/>
  <c r="F307" i="10"/>
  <c r="F339" i="10" s="1"/>
  <c r="F314" i="10"/>
  <c r="F341" i="10" s="1"/>
  <c r="F129" i="9"/>
  <c r="F128" i="9"/>
  <c r="F127" i="9"/>
  <c r="F126" i="9"/>
  <c r="F125" i="9"/>
  <c r="F122" i="9"/>
  <c r="F116" i="9"/>
  <c r="F115" i="9"/>
  <c r="F114" i="9"/>
  <c r="F113" i="9"/>
  <c r="F112" i="9"/>
  <c r="F111" i="9"/>
  <c r="F110" i="9"/>
  <c r="F109" i="9"/>
  <c r="F108" i="9"/>
  <c r="F107" i="9"/>
  <c r="F106" i="9"/>
  <c r="F105" i="9"/>
  <c r="F104" i="9"/>
  <c r="F103" i="9"/>
  <c r="F101" i="9"/>
  <c r="F100" i="9"/>
  <c r="F99" i="9"/>
  <c r="F98" i="9"/>
  <c r="F97" i="9"/>
  <c r="F96" i="9"/>
  <c r="F84" i="9"/>
  <c r="F83" i="9"/>
  <c r="F82" i="9"/>
  <c r="F81" i="9"/>
  <c r="F80" i="9"/>
  <c r="F79" i="9"/>
  <c r="F78" i="9"/>
  <c r="F77" i="9"/>
  <c r="F76" i="9"/>
  <c r="F75" i="9"/>
  <c r="F71" i="9"/>
  <c r="F70" i="9"/>
  <c r="F69" i="9"/>
  <c r="F68" i="9"/>
  <c r="F67" i="9"/>
  <c r="F66" i="9"/>
  <c r="F65" i="9"/>
  <c r="F64" i="9"/>
  <c r="F63" i="9"/>
  <c r="F62" i="9"/>
  <c r="F61" i="9"/>
  <c r="F60" i="9"/>
  <c r="F59" i="9"/>
  <c r="F58" i="9"/>
  <c r="F57" i="9"/>
  <c r="F56" i="9"/>
  <c r="F55" i="9"/>
  <c r="F54" i="9"/>
  <c r="F53" i="9"/>
  <c r="F52" i="9"/>
  <c r="F51" i="9"/>
  <c r="F50" i="9"/>
  <c r="F49" i="9"/>
  <c r="F48" i="9"/>
  <c r="F47" i="9"/>
  <c r="F46" i="9"/>
  <c r="F45" i="9"/>
  <c r="F44" i="9"/>
  <c r="F43" i="9"/>
  <c r="F42" i="9"/>
  <c r="F41" i="9"/>
  <c r="F40" i="9"/>
  <c r="F39" i="9"/>
  <c r="F38" i="9"/>
  <c r="F37" i="9"/>
  <c r="F36" i="9"/>
  <c r="F35" i="9"/>
  <c r="F34" i="9"/>
  <c r="F33" i="9"/>
  <c r="F32" i="9"/>
  <c r="F31" i="9"/>
  <c r="F30" i="9"/>
  <c r="F29" i="9"/>
  <c r="F28" i="9"/>
  <c r="F27" i="9"/>
  <c r="F26" i="9"/>
  <c r="F25" i="9"/>
  <c r="F24" i="9"/>
  <c r="F23" i="9"/>
  <c r="F22" i="9"/>
  <c r="F21" i="9"/>
  <c r="F20" i="9"/>
  <c r="F19" i="9"/>
  <c r="F18" i="9"/>
  <c r="F17" i="9"/>
  <c r="F16" i="9"/>
  <c r="F6" i="9"/>
  <c r="F342" i="10" l="1"/>
  <c r="F93" i="9"/>
  <c r="F147" i="9" s="1"/>
  <c r="F130" i="9"/>
  <c r="F149" i="9" s="1"/>
  <c r="F118" i="9"/>
  <c r="F148" i="9" s="1"/>
  <c r="F72" i="9"/>
  <c r="F146" i="9" s="1"/>
  <c r="D11" i="11"/>
  <c r="I100" i="2"/>
  <c r="G94" i="2"/>
  <c r="G161" i="2" s="1"/>
  <c r="G92" i="2"/>
  <c r="I92" i="2" s="1"/>
  <c r="I231" i="2"/>
  <c r="I221" i="2"/>
  <c r="G123" i="3"/>
  <c r="I118" i="3"/>
  <c r="G99" i="3"/>
  <c r="G97" i="3"/>
  <c r="G95" i="3"/>
  <c r="G94" i="3"/>
  <c r="G12" i="3"/>
  <c r="F150" i="9" l="1"/>
  <c r="D12" i="11" s="1"/>
  <c r="G137" i="4"/>
  <c r="G83" i="4"/>
  <c r="G81" i="4"/>
  <c r="G79" i="4"/>
  <c r="G78" i="4"/>
  <c r="G50" i="4"/>
  <c r="G42" i="4"/>
  <c r="G40" i="4"/>
  <c r="G39" i="4"/>
  <c r="I241" i="2"/>
  <c r="I237" i="2"/>
  <c r="I235" i="2"/>
  <c r="I233" i="2"/>
  <c r="I229" i="2"/>
  <c r="I227" i="2"/>
  <c r="I225" i="2"/>
  <c r="I223" i="2"/>
  <c r="I219" i="2"/>
  <c r="I217" i="2"/>
  <c r="I215" i="2"/>
  <c r="I213" i="2"/>
  <c r="I211" i="2"/>
  <c r="I209" i="2"/>
  <c r="I266" i="2"/>
  <c r="I265" i="2"/>
  <c r="I255" i="2"/>
  <c r="I253" i="2"/>
  <c r="I251" i="2"/>
  <c r="G249" i="2"/>
  <c r="G247" i="2"/>
  <c r="G245" i="2"/>
  <c r="I245" i="2" s="1"/>
  <c r="G243" i="2"/>
  <c r="I239" i="2"/>
  <c r="I269" i="2" l="1"/>
  <c r="I296" i="2" s="1"/>
  <c r="I249" i="2"/>
  <c r="I243" i="2"/>
  <c r="I247" i="2"/>
  <c r="I257" i="2" l="1"/>
  <c r="I295" i="2" s="1"/>
  <c r="G200" i="2"/>
  <c r="G195" i="2"/>
  <c r="I195" i="2" s="1"/>
  <c r="G192" i="2"/>
  <c r="I192" i="2" s="1"/>
  <c r="I197" i="2"/>
  <c r="G180" i="2"/>
  <c r="G171" i="2"/>
  <c r="G150" i="2"/>
  <c r="G152" i="2" s="1"/>
  <c r="G54" i="2"/>
  <c r="G56" i="2"/>
  <c r="G90" i="2"/>
  <c r="G137" i="2"/>
  <c r="G104" i="2"/>
  <c r="G133" i="2"/>
  <c r="G122" i="2"/>
  <c r="G113" i="2"/>
  <c r="G102" i="2"/>
  <c r="G96" i="2"/>
  <c r="G163" i="2" s="1"/>
  <c r="G66" i="2"/>
  <c r="G64" i="2"/>
  <c r="G88" i="2" s="1"/>
  <c r="G60" i="2"/>
  <c r="I60" i="2" s="1"/>
  <c r="G58" i="2"/>
  <c r="G39" i="2"/>
  <c r="G35" i="2"/>
  <c r="I35" i="2" s="1"/>
  <c r="G33" i="2"/>
  <c r="G29" i="2"/>
  <c r="G14" i="2"/>
  <c r="G12" i="2"/>
  <c r="G10" i="2"/>
  <c r="G48" i="2" s="1"/>
  <c r="I81" i="4"/>
  <c r="I139" i="4"/>
  <c r="G184" i="2"/>
  <c r="G155" i="3"/>
  <c r="G133" i="3"/>
  <c r="I133" i="3" s="1"/>
  <c r="G130" i="3"/>
  <c r="I130" i="3" s="1"/>
  <c r="G122" i="3"/>
  <c r="I122" i="3" s="1"/>
  <c r="G121" i="3"/>
  <c r="I121" i="3" s="1"/>
  <c r="G103" i="3"/>
  <c r="I103" i="3" s="1"/>
  <c r="G101" i="3"/>
  <c r="G44" i="3"/>
  <c r="I44" i="3" s="1"/>
  <c r="G43" i="3"/>
  <c r="I43" i="3" s="1"/>
  <c r="G42" i="3"/>
  <c r="I42" i="3" s="1"/>
  <c r="G21" i="3"/>
  <c r="I21" i="3" s="1"/>
  <c r="G19" i="3"/>
  <c r="I19" i="3" s="1"/>
  <c r="G17" i="3"/>
  <c r="I17" i="3" s="1"/>
  <c r="G15" i="3"/>
  <c r="I15" i="3" s="1"/>
  <c r="G13" i="3"/>
  <c r="I137" i="4"/>
  <c r="G126" i="4"/>
  <c r="I126" i="4" s="1"/>
  <c r="G124" i="4"/>
  <c r="I124" i="4" s="1"/>
  <c r="G122" i="4"/>
  <c r="I122" i="4" s="1"/>
  <c r="G120" i="4"/>
  <c r="I120" i="4" s="1"/>
  <c r="G87" i="4"/>
  <c r="I87" i="4" s="1"/>
  <c r="G85" i="4"/>
  <c r="G63" i="4"/>
  <c r="I63" i="4" s="1"/>
  <c r="I52" i="4"/>
  <c r="G48" i="4"/>
  <c r="I48" i="4" s="1"/>
  <c r="G46" i="4"/>
  <c r="I46" i="4" s="1"/>
  <c r="G44" i="4"/>
  <c r="I44" i="4" s="1"/>
  <c r="I40" i="4"/>
  <c r="I39" i="4"/>
  <c r="G36" i="4"/>
  <c r="I36" i="4" s="1"/>
  <c r="G35" i="4"/>
  <c r="I35" i="4" s="1"/>
  <c r="G22" i="4"/>
  <c r="I22" i="4" s="1"/>
  <c r="G20" i="4"/>
  <c r="G11" i="4"/>
  <c r="I11" i="4" s="1"/>
  <c r="G182" i="2"/>
  <c r="G125" i="2"/>
  <c r="G62" i="2"/>
  <c r="G52" i="2"/>
  <c r="G50" i="2"/>
  <c r="G37" i="2"/>
  <c r="G31" i="2"/>
  <c r="G27" i="2"/>
  <c r="G25" i="2"/>
  <c r="I105" i="4"/>
  <c r="I36" i="3"/>
  <c r="I128" i="4"/>
  <c r="I111" i="4"/>
  <c r="I110" i="4"/>
  <c r="I107" i="4"/>
  <c r="I106" i="4"/>
  <c r="I104" i="4"/>
  <c r="I92" i="4"/>
  <c r="I79" i="4"/>
  <c r="I66" i="4"/>
  <c r="I61" i="4"/>
  <c r="I50" i="4"/>
  <c r="I42" i="4"/>
  <c r="I9" i="4"/>
  <c r="I7" i="4"/>
  <c r="I157" i="3"/>
  <c r="I155" i="3"/>
  <c r="I152" i="3"/>
  <c r="I151" i="3"/>
  <c r="I148" i="3"/>
  <c r="I137" i="3"/>
  <c r="I135" i="3"/>
  <c r="I128" i="3"/>
  <c r="I126" i="3"/>
  <c r="I124" i="3"/>
  <c r="I123" i="3"/>
  <c r="I109" i="3"/>
  <c r="I97" i="3"/>
  <c r="I95" i="3"/>
  <c r="I91" i="3"/>
  <c r="I79" i="3"/>
  <c r="I78" i="3"/>
  <c r="I77" i="3"/>
  <c r="I76" i="3"/>
  <c r="I75" i="3"/>
  <c r="I73" i="3"/>
  <c r="I71" i="3"/>
  <c r="I69" i="3"/>
  <c r="I67" i="3"/>
  <c r="I65" i="3"/>
  <c r="I63" i="3"/>
  <c r="I54" i="3"/>
  <c r="I52" i="3"/>
  <c r="I50" i="3"/>
  <c r="I49" i="3"/>
  <c r="I46" i="3"/>
  <c r="I39" i="3"/>
  <c r="I25" i="3"/>
  <c r="I13" i="3"/>
  <c r="I9" i="3"/>
  <c r="G105" i="3" l="1"/>
  <c r="G107" i="3" s="1"/>
  <c r="I107" i="3" s="1"/>
  <c r="I101" i="3"/>
  <c r="G23" i="3"/>
  <c r="G27" i="3" s="1"/>
  <c r="I27" i="3" s="1"/>
  <c r="I99" i="3"/>
  <c r="I85" i="4"/>
  <c r="G89" i="4"/>
  <c r="G91" i="4" s="1"/>
  <c r="I20" i="4"/>
  <c r="G24" i="4"/>
  <c r="I24" i="4" s="1"/>
  <c r="I83" i="4"/>
  <c r="G98" i="2"/>
  <c r="G129" i="2"/>
  <c r="G77" i="2"/>
  <c r="G127" i="2"/>
  <c r="G79" i="2"/>
  <c r="I141" i="4"/>
  <c r="I158" i="4" s="1"/>
  <c r="I113" i="4"/>
  <c r="I156" i="4" s="1"/>
  <c r="I68" i="4"/>
  <c r="I154" i="4" s="1"/>
  <c r="I130" i="4"/>
  <c r="I157" i="4" s="1"/>
  <c r="I13" i="4"/>
  <c r="I151" i="4" s="1"/>
  <c r="I56" i="3"/>
  <c r="I175" i="3" s="1"/>
  <c r="I159" i="3"/>
  <c r="I185" i="3" s="1"/>
  <c r="I105" i="3"/>
  <c r="I139" i="3"/>
  <c r="I181" i="3" s="1"/>
  <c r="I94" i="3"/>
  <c r="I81" i="3"/>
  <c r="I176" i="3" s="1"/>
  <c r="I54" i="4"/>
  <c r="I153" i="4" s="1"/>
  <c r="I78" i="4"/>
  <c r="I12" i="3"/>
  <c r="I23" i="3" l="1"/>
  <c r="I29" i="3" s="1"/>
  <c r="I89" i="4"/>
  <c r="I26" i="4"/>
  <c r="I152" i="4" s="1"/>
  <c r="I111" i="3"/>
  <c r="I180" i="3" s="1"/>
  <c r="I91" i="4"/>
  <c r="I94" i="4" l="1"/>
  <c r="I155" i="4" s="1"/>
  <c r="I174" i="3"/>
  <c r="I187" i="3" s="1"/>
  <c r="D9" i="11" s="1"/>
  <c r="I160" i="4" l="1"/>
  <c r="D14" i="11" s="1"/>
  <c r="I200" i="2"/>
  <c r="I202" i="2" s="1"/>
  <c r="I294" i="2" s="1"/>
  <c r="I182" i="2"/>
  <c r="I180" i="2"/>
  <c r="I184" i="2"/>
  <c r="I171" i="2"/>
  <c r="I173" i="2" s="1"/>
  <c r="I133" i="2"/>
  <c r="I131" i="2"/>
  <c r="I139" i="2"/>
  <c r="I137" i="2"/>
  <c r="I27" i="2"/>
  <c r="I52" i="2"/>
  <c r="I102" i="2"/>
  <c r="I64" i="2"/>
  <c r="I62" i="2"/>
  <c r="I37" i="2"/>
  <c r="G8" i="2"/>
  <c r="G16" i="2" s="1"/>
  <c r="I8" i="2" l="1"/>
  <c r="I186" i="2"/>
  <c r="I293" i="2" s="1"/>
  <c r="I292" i="2"/>
  <c r="I163" i="2"/>
  <c r="I161" i="2"/>
  <c r="I143" i="2"/>
  <c r="I141" i="2"/>
  <c r="I140" i="2"/>
  <c r="I138" i="2"/>
  <c r="I127" i="2"/>
  <c r="I96" i="2"/>
  <c r="I90" i="2"/>
  <c r="I66" i="2"/>
  <c r="I58" i="2"/>
  <c r="I39" i="2"/>
  <c r="I165" i="2" l="1"/>
  <c r="I291" i="2" s="1"/>
  <c r="I125" i="2"/>
  <c r="I129" i="2"/>
  <c r="I14" i="2"/>
  <c r="I123" i="2" l="1"/>
  <c r="I122" i="2"/>
  <c r="I113" i="2"/>
  <c r="I115" i="2" s="1"/>
  <c r="I288" i="2" s="1"/>
  <c r="I104" i="2"/>
  <c r="I98" i="2"/>
  <c r="I94" i="2"/>
  <c r="I88" i="2"/>
  <c r="I79" i="2"/>
  <c r="I77" i="2"/>
  <c r="I56" i="2"/>
  <c r="I54" i="2"/>
  <c r="I50" i="2"/>
  <c r="I31" i="2"/>
  <c r="I29" i="2"/>
  <c r="I12" i="2"/>
  <c r="I145" i="2" l="1"/>
  <c r="I289" i="2" s="1"/>
  <c r="I81" i="2"/>
  <c r="I286" i="2" s="1"/>
  <c r="I106" i="2"/>
  <c r="I287" i="2" s="1"/>
  <c r="I25" i="2" l="1"/>
  <c r="I41" i="2" s="1"/>
  <c r="I284" i="2" s="1"/>
  <c r="I16" i="2"/>
  <c r="I18" i="2" l="1"/>
  <c r="I283" i="2" s="1"/>
  <c r="I48" i="2"/>
  <c r="I68" i="2" s="1"/>
  <c r="I285" i="2" s="1"/>
  <c r="I152" i="2" l="1"/>
  <c r="I150" i="2"/>
  <c r="I154" i="2" l="1"/>
  <c r="I290" i="2" s="1"/>
  <c r="I298" i="2" s="1"/>
  <c r="D8" i="11" s="1"/>
  <c r="D16" i="11" s="1"/>
  <c r="D17" i="11" l="1"/>
  <c r="D18" i="11" s="1"/>
</calcChain>
</file>

<file path=xl/sharedStrings.xml><?xml version="1.0" encoding="utf-8"?>
<sst xmlns="http://schemas.openxmlformats.org/spreadsheetml/2006/main" count="3382" uniqueCount="1830">
  <si>
    <t>Građevina:</t>
  </si>
  <si>
    <t>Investitor:</t>
  </si>
  <si>
    <t>Lokacija:</t>
  </si>
  <si>
    <t>TROŠKOVNIK</t>
  </si>
  <si>
    <t>R. Br.</t>
  </si>
  <si>
    <t>Opis stavke</t>
  </si>
  <si>
    <t>J.M.</t>
  </si>
  <si>
    <t>Količina</t>
  </si>
  <si>
    <t>Ukupno</t>
  </si>
  <si>
    <t>Jedinična cijena</t>
  </si>
  <si>
    <t>kpl</t>
  </si>
  <si>
    <t>1.1.</t>
  </si>
  <si>
    <t>1.2.</t>
  </si>
  <si>
    <t>1.3.</t>
  </si>
  <si>
    <t>1.4.</t>
  </si>
  <si>
    <t>UKUPNO:</t>
  </si>
  <si>
    <t>2.1.</t>
  </si>
  <si>
    <t>2.2.</t>
  </si>
  <si>
    <t>2.3.</t>
  </si>
  <si>
    <t>m'</t>
  </si>
  <si>
    <t>2.4.</t>
  </si>
  <si>
    <t>2.5.</t>
  </si>
  <si>
    <t>2.6.</t>
  </si>
  <si>
    <t>3.1.</t>
  </si>
  <si>
    <t>3.2.</t>
  </si>
  <si>
    <t>3.3.</t>
  </si>
  <si>
    <t>3.4.</t>
  </si>
  <si>
    <t>3.5.</t>
  </si>
  <si>
    <t>4.1.</t>
  </si>
  <si>
    <t>4.2.</t>
  </si>
  <si>
    <t>5.1.</t>
  </si>
  <si>
    <t>5.2.</t>
  </si>
  <si>
    <t>5.3.</t>
  </si>
  <si>
    <t>5.4.</t>
  </si>
  <si>
    <t>6.1.</t>
  </si>
  <si>
    <t>6.2.</t>
  </si>
  <si>
    <t>7.1.</t>
  </si>
  <si>
    <t>7.2.</t>
  </si>
  <si>
    <t>7.3.</t>
  </si>
  <si>
    <t>kg</t>
  </si>
  <si>
    <t>REKAPITULACIJA</t>
  </si>
  <si>
    <t>Kombinirani strojno-ručni iskop zemljišta za trakaste temelje do projektirane kote iskopa, utovar iskopane zemlje u kamion, prijevoz i privremeno odlaganje na lokaciji gradilišta.</t>
  </si>
  <si>
    <t>Planiranje i valjanje posteljice ispod cjelokupne površine 
objekta, do postizanja potrebne zbijenosti (Ms≥25 
MN/m²).</t>
  </si>
  <si>
    <t>Doprema, izrada, postavljanje i skidanje jednostrane
glatke daščane oplate za podnu ploču, visine 16 cm, sa 
svim potrebnim ukrutama i razuporama.</t>
  </si>
  <si>
    <t>Doprema, izrada, postavljanje i skidanje dvostrane glatke daščane oplate za vertikalne serklaže, presjeka 25/25 cm i visine do 4,00 m, sa svim potrebnim ukrutama i razuporama i podupiranjem.</t>
  </si>
  <si>
    <t>Doprema, izrada, postavljanje i skidanje dvostrane glatke daščane oplate za horizontalne serklaže i atiku, sa svim potrebnim ukrutama i razuporama.</t>
  </si>
  <si>
    <t>Betoniranje trakastih temelja C25/30 visine do 90 cm. Stavkom je obuhvaćena doprema betona iz tvornice betona, ugradba i njega betona nakon ugradbe.</t>
  </si>
  <si>
    <t>Betoniranje armirane podne ploče, debljine 15 cm, betonom C25/30. Stavkom je obuhvaćena doprema betona iz tvornice betona, ugradba i njega betona nakon ugradbe.</t>
  </si>
  <si>
    <t>Betoniranje armiranih vertikalnih serklaža presjeka 25/25 cm i visine do max 3,50 m, betonom C25/30 u glatkoj oplati. Stavkom je obuhvaćena doprema betona iz tvornice betona, ugradba i njega betona nakon ugradbe.</t>
  </si>
  <si>
    <t>Nabava, doprema, sječenje, savijanje, ugradnja i postavljanje
rebraste armature svih profila trakastih temelja, nadtemeljnih zidova, vertikalnih,horizontalnih serklaža,greda i ukrutnih greda stropa.</t>
  </si>
  <si>
    <t>Nabava, doprema, sječenje, ugradnja i postavljanje mrežaste armature.</t>
  </si>
  <si>
    <t xml:space="preserve">Doprema, istovar i ugradnja svog potrebnog materijala, spravljanje vapneno-cementnog morta i zidanje nosivih 
zidova glinenom blok opekom d=25 cm. </t>
  </si>
  <si>
    <t>Žbukanje unutarnjih zidova od blok opeke te okna lifta, sa obradom svih špaleta. Grubo žbukanje vapneno-cementnom temeljnom žbukom u sloju debljine cca 1,5 cm, finiranje mineralnom zaribanom žbukom u sloju do 3 mm. Prije samog žbukanja nanosi se sloj cementnog šprica, a na svim rubovima i kutevima se postavljaju lajsne za žbukanje. Stavka obuhvaća i druge predradnje, kao što je čišćenje zidova i zaštita stolarije te skela.</t>
  </si>
  <si>
    <t>Doprema, postavljanje i skidanje montažne fasadne skele 
za vrijeme izvođenja zidarskih i fasaderskih radova.</t>
  </si>
  <si>
    <t>Doprema i montaža opšava, izrađenih od poc. lima debljine 0,55 mm, u boji po odabiru projektanta ili investitora. Stavkom su obuhvaćena i sva spojna sredstva.</t>
  </si>
  <si>
    <t>Radi kontrole upojnosti podloge, nanošenje temeljnog polimer-bitumenskog premaza IDROPRIMER ili jednakovrijedan 0,3 kg/m2. Varenje dvije plastomerne bitumenske hidroizolacijske trake visoke kvalitete kao TREND HS ili jednakovijedne ojačane sa netkanim poliesterskim filcom i stabilizirane u uzdužnom smjeru staklenim vlaknima debljine 4mm. Zadizanje hidroizolacije 20cm iznad kote terena s preklopima od 10 cm.</t>
  </si>
  <si>
    <t xml:space="preserve">Nabava, doprema i polaganje termoizolacije poda od tvrdih ploča XPS-a, debljine 8 cm, na izvedenu podnu hidroizolaciju. </t>
  </si>
  <si>
    <t>Izrada ETICS fasade kao završni sloj atike sa "unutarnje" strane. Estrudirani polistiren EPS 5 cm se lijepi na vanjske zidove i dodatno se mehanički učvršćuje plastičnim tiplovima 5 kom/m2. U cijenu predvidjeti cokl lajsne i kutne lajsne za obradu na uglovima i oko prozora te sav potreban materijal za izradu fasade.Boja edelputza po izboru investitora ili projektanta.</t>
  </si>
  <si>
    <r>
      <t>m</t>
    </r>
    <r>
      <rPr>
        <vertAlign val="superscript"/>
        <sz val="10"/>
        <rFont val="Arial"/>
        <family val="2"/>
        <charset val="238"/>
      </rPr>
      <t>2</t>
    </r>
  </si>
  <si>
    <r>
      <t>m</t>
    </r>
    <r>
      <rPr>
        <vertAlign val="superscript"/>
        <sz val="10"/>
        <rFont val="Arial"/>
        <family val="2"/>
        <charset val="238"/>
      </rPr>
      <t>3</t>
    </r>
  </si>
  <si>
    <t>1. Zemljani radovi</t>
  </si>
  <si>
    <t>2. Tesarski radovi</t>
  </si>
  <si>
    <t>3. Betonski radovi</t>
  </si>
  <si>
    <t>3.6.</t>
  </si>
  <si>
    <t>3.7.</t>
  </si>
  <si>
    <t>4. Armirački radovi</t>
  </si>
  <si>
    <t>5. Zidarski radovi</t>
  </si>
  <si>
    <t>3.8.</t>
  </si>
  <si>
    <t>5.5.</t>
  </si>
  <si>
    <t>5.6.</t>
  </si>
  <si>
    <t>5.7.</t>
  </si>
  <si>
    <t>5.8.</t>
  </si>
  <si>
    <t>6. Limarski radovi</t>
  </si>
  <si>
    <t>7. Izolaterski radovi</t>
  </si>
  <si>
    <t>7.4.</t>
  </si>
  <si>
    <t>7.5.</t>
  </si>
  <si>
    <t>7.6.</t>
  </si>
  <si>
    <t>7.7.</t>
  </si>
  <si>
    <t>7.8.</t>
  </si>
  <si>
    <t>8.1.</t>
  </si>
  <si>
    <t>8.2.</t>
  </si>
  <si>
    <t>9.1.</t>
  </si>
  <si>
    <t>8. Fasaderski radovi</t>
  </si>
  <si>
    <t>2.7.</t>
  </si>
  <si>
    <t xml:space="preserve">Izrada sustava ravnog krova sa PVC membranom na podlozi od EPS-a. </t>
  </si>
  <si>
    <t>geotekstil 300 g/m2</t>
  </si>
  <si>
    <t>kom</t>
  </si>
  <si>
    <t>10.1.</t>
  </si>
  <si>
    <t>Poslovno - proizvodna zgrada</t>
  </si>
  <si>
    <t>Nabla Slavonija d.o.o.</t>
  </si>
  <si>
    <t>Gospodarska zona Antunovac, k.č.br. 904/3, k.o. Antunovac</t>
  </si>
  <si>
    <t xml:space="preserve">  Troškovnik izradio:</t>
  </si>
  <si>
    <t xml:space="preserve"> Planum projekt d.o.o.</t>
  </si>
  <si>
    <t>Projektant:</t>
  </si>
  <si>
    <t xml:space="preserve"> Valentino Liović, mag.ing.aedif.</t>
  </si>
  <si>
    <t>Suradnik:</t>
  </si>
  <si>
    <t xml:space="preserve"> Monika Sukačić, mag.ing.aedif.</t>
  </si>
  <si>
    <t>Beli Manastir, ožujak 2018. godine</t>
  </si>
  <si>
    <t xml:space="preserve">Nabava, dobava i ugradnja šljunka, izrada nosivog sloja debljine 20 cm ispod podne AB ploče. Stavka obuhvaća i zbijanje šljunčanog nasipa u slojevima do postizanja odgovarajuće zbijenosti. </t>
  </si>
  <si>
    <t xml:space="preserve">Planiranje i valjanje posteljice temelja, kao priprema podloge za betoniranje. U cijenu uključen sav potreban materijal i rad. </t>
  </si>
  <si>
    <t>1.5.</t>
  </si>
  <si>
    <t>Odvoz preostalog zemljanog materijala nakon iskopa na deponiju udaljenu max 5,0 km. Koeficijent rastresitosti 1,30. Naknadu za deponiranje uključiti u cijenu.</t>
  </si>
  <si>
    <t xml:space="preserve">Strojni otkop humusa u sloju debljine do 25 cm, utovar u kamion i privremeno odlaganje na lokaciji gradilišta. </t>
  </si>
  <si>
    <t>Nabava, dobava, izrada, postavljanje i skidanje jednostrane glatke daščane oplate za podnu ploču, visine 12,0 cm, sa svim potrebnim ukrutama i razuporama. PODNA PLOČA</t>
  </si>
  <si>
    <t>Nabava, dobava, izrada, postavljanje i skidanje jednostrane glatke daščane oplate za horizontalne serklaže, presjeka 25/20 cm, sa svim potrebnim ukrutama i razuporama. HORIZONTALNI SERKLAŽI</t>
  </si>
  <si>
    <t>Nabava, dobava, izrada, postavljanje i skidanje glatke daščane oplate za stubište, sa svim potrebnim ukrutama i razuporama. STUBIŠTE.</t>
  </si>
  <si>
    <t>Nabava, dobava, izrada, postavljanje i skidanje glatke daščane oplate za grede i nadvoje, sa svim potrebnim ukrutama i razuporama. GREDE I NADVOJI</t>
  </si>
  <si>
    <t>Nabava, dobava i ugradnja betona C30/37 u trakaste temelje, širine 60,0 cm i visine cca. 90,0 cm. Stavkom je obuhvaćena doprema betona iz tvornice betona, ugradba i njega betona nakon ugradbe. TRAKASTI TEMELJI.</t>
  </si>
  <si>
    <t>Nabava, dobava i ugradnja betona C25/30 u podnu ploču, debljine 12,0 cm. Stavkom je obuhvaćena doprema betona iz tvornice betona, ugradba i njega betona nakon ugradbe. PODNA PLOČA.</t>
  </si>
  <si>
    <t>Nabava, dobava i ugradnja betona C25/30 u horizontalne serklaže presjeka 25/20 cm u glatkoj oplati. Stavkom je obuhvaćena doprema betona iz tvornice betona, ugradba i njega betona nakon ugradbe. HORIZONTALNI SERKLAŽI.</t>
  </si>
  <si>
    <t>Nabava, dobava i ugradnja betona C25/30 u ab stubište u glatkoj oplati. Stavkom je obuhvaćena doprema betona iz tvornice betona, ugradba i njega betona nakon ugradbe. AB STUBIŠTE.</t>
  </si>
  <si>
    <t>Nabava, dobava i ugradnja betona C25/30 u ab grede i nadvoje u glatkoj oplati. Stavkom je obuhvaćena doprema betona iz tvornice betona, ugradba i njega betona nakon ugradbe. AB GREDE I NADVOJI.</t>
  </si>
  <si>
    <t>Nabava, dobava, sječenje, savijanje, ugradnja i postavljanje rebraste armature svih profila vertikalnih i horizontalnih serklaža, greda, nadvoja i sl. Armatura B500B.</t>
  </si>
  <si>
    <t>Nabava, dobava, sječenje, ugradnja i postavljanje mrežaste armature u pločaste elemente. Armatura B500B.</t>
  </si>
  <si>
    <t>Nabava, dobava i ugradnja svog potrebnog materijala, kao i izrada vapneno-cementnog morta, za zidanje nosivih zidova svih etaža, d=25,0 cm glinenom blok opekom. U stavku uključen sav potreban alat, materijal i rad. NOSIVI ZIDOVI.</t>
  </si>
  <si>
    <t>Nabava, dobava i ugradnja svog potrebnog materijala, kao i izrada vapneno-cementnog morta, za zidanje zidova atike, d=25,0 cm glinenom blok opekom. U stavku uključen sav potreban alat, materijal i rad. ATIKA.</t>
  </si>
  <si>
    <t>Nabava, dobava i ugradnja svog potrebnog materijala za žbukanje unutarnjih zidova, s obradom svih špaleta. Ukupna debljina žbuke mora biti između 1,5 -2,0 cm. Stavka obuhvaća i druge predradnje, kao što je čišćenje zidova i zaštita stolarije te skela po potrebi. ŽBUKANJE ZIDOVA.</t>
  </si>
  <si>
    <t>Nabava, dobava i ugradnja svog potrebnog materijala za žbukanje stropova. Ukupna debljina žbuke mora biti između 1,5 -2,0 cm. Stavka obuhvaća i druge predradnje, kao što je čišćenje zidova i zaštita stolarije te skela po potrebi. ŽBUKANJE STROPOVA.</t>
  </si>
  <si>
    <t>Nabava, dobava materijala i izrada cementnog estiha u sloju debljine 7,0 cm, iznad podne ploče i stropa kata, kao podloge završnom sloju poda. U cijenu uključen sav potreban materijal, alat i rad.</t>
  </si>
  <si>
    <t>Nabava, dobava materijala i izrada betona za pad u debljini od 5,0 - 15,0 cm, iznad ab ploče ravnog krova, kao podloge završnom sloju ravnog krova. U cijenu uključen sav potreban materijal i rad.</t>
  </si>
  <si>
    <t>Nabava, dobava, izrada, postavljanje i skidanje glatke daščane oplate za stupove, presjeka 40/40 cm i visine do 4,00 m, sa svim potrebnim ukrutama i razuporama i podupiranjem. STUPOVI.</t>
  </si>
  <si>
    <t>Nabava, dobava i ugradnja betona C25/30 u vertikalne serklaže presjeka 25/25 cm i visine do max. 4,0 u glatkoj oplati. Stavkom je obuhvaćena doprema betona iz tvornice betona, ugradba i njega betona nakon ugradbe. VERTIKALNI SERKLAŽI.</t>
  </si>
  <si>
    <t>Nabava, dobava i ugradnja betona C25/30 u vertikalne serklaže presjeka 25/25 cm i visine do max. 3,0 u glatkoj oplati. Stavkom je obuhvaćena doprema betona iz tvornice betona, ugradba i njega betona nakon ugradbe. STUPOVI</t>
  </si>
  <si>
    <t>Nabava, dobava i montaža opšava atike, izrađenih od poc. lima debljine 0,55 mm. Stavkom su obuhvaćena i sva spojna sredstva. U cijenu uključen sav potreban materijal i rad.</t>
  </si>
  <si>
    <t>Nabava, dobava i polaganje termoizolacije poda prizemlja od tvrdih ploča XPS-a (100 kPa tlačne ćvrstoće), debljine 8,0 cm, na izvedenu podnu hidroizolaciju prizemlja. U stavku je uračunat sav potreban materijal i rad. POD PRIZEMLJA.</t>
  </si>
  <si>
    <t>Nabava, dobava i ugradnja betona C25/30 na podove prizemlja, kao podložni beton, debljine 5,0 cm. Stavkom je obuhvaćena doprema betona iz tvornice betona, ugradba i njega betona nakon ugradbe. PODLOŽNI BETON.</t>
  </si>
  <si>
    <t>Izvedba fert stropa od tvorničkih montažnih fert-strop gredica 12/16 cm, na osnom razmaku od 40 cm i fert-strop ispuna širine 28 cm. Stropne gredice izrađene kao rešetkasti nosači od okruglih rebrastih čeličnih profilala.Tlačnu ploču izvesti debljine 5 cm, betonom C 25/30. U cijeni sav rad, podupirači, oplata i sl. MONTA STROP.</t>
  </si>
  <si>
    <t>Nabava, dobava i ugradnja betona C25/30 u podnu ploču, debljine 15,0 cm. Stavkom je obuhvaćena doprema betona iz tvornice betona, ugradba i njega betona nakon ugradbe. PODNA PLOČA.</t>
  </si>
  <si>
    <t>3.9.</t>
  </si>
  <si>
    <t>Nabava, dobava, izrada, postavljanje i skidanje jednostrane glatke daščane oplate za podnu ploču, visine 15,0 cm, sa svim potrebnim ukrutama i razuporama. PODNA PLOČA</t>
  </si>
  <si>
    <t>Nabava, dobava i ugradnja slivnika kompatibilnih sa PVC membranom. U stavku ukljun sav potreban materijal i rad do potpune gotovosti.</t>
  </si>
  <si>
    <t>EPS 100 d= 10 cm</t>
  </si>
  <si>
    <t>7.9.</t>
  </si>
  <si>
    <t>Nabava, doprema i polaganje mineralne vune d=10 cm.</t>
  </si>
  <si>
    <t>Dobava, postavljanje i skidanje montažne skele za vrijeme postave fasade na kompletnoj građevini.</t>
  </si>
  <si>
    <t>Nabava, dobava i polaganje mineralne vune d=10 cm, na stropove kata/spušteni strop. U stavku uključen sav potreban materijal i rad.</t>
  </si>
  <si>
    <r>
      <t>Nabava, dobava i postavljanje EPS-a d=15 cm, na zidove između grijanog i negrijanog prostora, prema skladištu. U stavku je uključeno i lijepljenje na zidove i dodatno mehaničko učvršćivanje plastičnim tiplovima 5 kom/m</t>
    </r>
    <r>
      <rPr>
        <vertAlign val="superscript"/>
        <sz val="10"/>
        <color indexed="8"/>
        <rFont val="Arial"/>
        <family val="2"/>
        <charset val="238"/>
      </rPr>
      <t>2</t>
    </r>
    <r>
      <rPr>
        <sz val="10"/>
        <color indexed="8"/>
        <rFont val="Arial"/>
        <family val="2"/>
        <charset val="238"/>
      </rPr>
      <t xml:space="preserve">, kao i završna obrada zida, do potpune gotovosti i spremnosti na bojanje zida bojom. </t>
    </r>
  </si>
  <si>
    <t>Izrada, dobava i ugradnja ventilirane aluminijske fasade, boja po izboru projektanta ili investitora. 1. Fasadna mineralna vuna kao sloj ventilirane fasade: Nabava, dobava i ugradnja fasadne mineralne vune d=12 cm sa svim potrebnim materijalom za ugradnju (tiplovi,ljepilo,lajsne,mrežica i sl.) i radom na vanjske zidove. 2. Izrada, dobava i ugradnja završnog sloja ventilirane fasade od punih aluminijskih kompozitnih ploča tip kao Alucobond ili jednakovrijedan  __________________ sa potkostrukcijom. U cijeni stavke uračunat sav potreban rad, spojna sredstva, kutni profili, opšavi i sl., potrebni za montažu ploča. VENTILIRANA FASADA OD ALUMINIJSKIH KOMPOZITNIH PLOČA.</t>
  </si>
  <si>
    <t>9. Soboslikarski i ličilački</t>
  </si>
  <si>
    <t>Nabava, dobava materijala za gletanje, gletanje i ličenje unutarnjih ožbukanih zidova, bojom za unutarnje radove po želji investitora. Stavkom je obuhvaćena i priprema i impregnacija podloge.</t>
  </si>
  <si>
    <t>Nabava, dobava materijala za gletanje, gletanje i ličenje unutarnjih ožbukanih stropova, bojom za unutarnje radove po želji investitora. Stavkom je obuhvaćena i priprema i impregnacija podloge.</t>
  </si>
  <si>
    <t>10. Gips - kartonski radovi</t>
  </si>
  <si>
    <r>
      <t>m</t>
    </r>
    <r>
      <rPr>
        <vertAlign val="superscript"/>
        <sz val="10"/>
        <color indexed="8"/>
        <rFont val="Arial"/>
        <family val="2"/>
        <charset val="238"/>
      </rPr>
      <t>2</t>
    </r>
  </si>
  <si>
    <t xml:space="preserve">Dobava i ugradnja tipskog spuštenog stropa tipa kao armstrong u rasteru od aluminijskog bijelog lima vel.60x60 cm.Spojeve sa okolnim zidovima silikonirati akrilom. (SPUŠTENI STROPOVI) </t>
  </si>
  <si>
    <t>11. Keramičarski radovi</t>
  </si>
  <si>
    <t>11.1.</t>
  </si>
  <si>
    <t>11.2.</t>
  </si>
  <si>
    <t>Nabava, doprema i popločavanje podova protukliznim keramičkim pločicama i odgovarajućim keramičkim ljepilom. Boja i veličina keramičkih pločica, prema izboru projektamta ili Investitora.U stavci uračunato 15% otpada na urezivanje pločica. Po završetku polaganja, fuge se zapunjavaju masom za fugiranje.</t>
  </si>
  <si>
    <t>Nabava, doprema i oblaganje zidova sanitarnih čvorova keramičkim pločicama do 2,00 cm visine i odgovarajućim keramičkim ljepilom.U stavci uračunato 15% otpada na urezivanje pločica Boja i veličina keramičkih pločica, prema izboru projektanta ili Investitora.Po završetku polaganja, fuge se zapunjavaju masom za fugiranje.</t>
  </si>
  <si>
    <t>11.3.</t>
  </si>
  <si>
    <t>Nabava, doprema i oblaganje zidnog sokla, visine 10 cm, keramičkim pločicama i odgovarajućim keramičkim ljepilom. Boja i veličina keramičkih pločica, prema izboru Investitora. Po završetku polaganja, fuge se zapunjavaju masom za fugiranje.</t>
  </si>
  <si>
    <t>Nabava, dobava i oblaganje zidova sanitarnih čvorova keramičkim pločicama do 2,00 m visine i odgovarajućim keramičkim ljepilom. Boja i veličina keramičkih pločica, prema izboru Investitora. Po završetku polaganja, fuge se zapunjavaju masom za fugiranje.</t>
  </si>
  <si>
    <t>Nabava, dobava i popločavanje podova protukliznim keramičkim pločicama i odgovarajućim keramičkim ljepilom. Boja i veličina keramičkih pločica, prema izboru Investitora. Po završetku polaganja, fuge se zapunjavaju masom za fugiranje.</t>
  </si>
  <si>
    <t>Nabava, dobava i oblaganje zidnog sokla, visine 10,0 cm, keramičkim pločicama i odgovarajućim keramičkim ljepilom. Boja i veličina keramičkih pločica, prema izboru Investitora. Po završetku polaganja, fuge se zapunjavaju masom za fugiranje.</t>
  </si>
  <si>
    <t>12. Podopolagački radovi</t>
  </si>
  <si>
    <t>12.1.</t>
  </si>
  <si>
    <t>12.2.</t>
  </si>
  <si>
    <t>13. Bravarski radovi</t>
  </si>
  <si>
    <t>13.1.</t>
  </si>
  <si>
    <t>13.2.</t>
  </si>
  <si>
    <t>13.3.</t>
  </si>
  <si>
    <t>13.4.</t>
  </si>
  <si>
    <t>Izrada, dobava i montaža do potpune gotovosti al. vrata u sistemu profila sa termo ispunom: profili s prekinutim toplinskim mostom dubine okvira 85 mm, ispunjeni termo ispunom, s vidljivim krilom sa vanjske strane dubine 93 mm, plastificirani ili eloksirani u tonu. Način otvaranja prema pripadnim shemama ili fiksno. Okov za otvaranje prilagođen sustavu i po preporuci proizvođača sustava uz odobrenje projektanta.
Boja okova po odabiru investitora.                                                                                                                     Ostakljenje “IZO” staklom 6+14+4+14+4=42 mm, međuprostor ispunjen Argonom                                                                                          Vrata se ugrađuju na spoju sa zidom po sistemu RAL montaže. U cijenu su uključeni i svi potrebni rubni opšavi iz aluminijskog plastificiranog lima u RAL-u aluminijskih prozora, te termoizolacija i hidroizolacija na spoju sa zidom. 
Prema shemi, ispunjeno IZO staklom, rastera polja širine 180/260 cm. POZ 1</t>
  </si>
  <si>
    <t>Izrada, dobava i montaža do potpune gotovosti rolovrata na ulazu u skladište. 
Boja okova po odabiru investitora. U rolo vrata se ugrađuju vrata za izlaz u nuždi.                                                                                                                    U cijenu stavke je uključen sav potreban materijal i rad. 
Prema shemi, rastera polja širine 300/550 cm. POZ 5</t>
  </si>
  <si>
    <t>13.5.</t>
  </si>
  <si>
    <t>13.6.</t>
  </si>
  <si>
    <t>Izrada, dobava i montaža do potpune gotovosti al. prozora u sistemu profila sa termo ispunom: profili s prekinutim toplinskim mostom dubine okvira 85 mm, ispunjeni termo ispunom, s vidljivim krilom sa vanjske strane dubine 93 mm, plastificirani ili eloksirani u tonu. Način otvaranja prema pripadnim shemama ili fiksno. Okov za otvaranje prilagođen sustavu i po preporuci proizvođača sustava uz odobrenje projektanta.
Boja okova po odabiru investitora.                                                                                                                     Ostakljenje “IZO” staklom 6+14+4+14+4=42 mm, međuprostor ispunjen Argonom                                                                                          Prozor se ugrađuje na spoju sa zidom po sistemu RAL montaže. U cijenu su uključeni i svi potrebni rubni opšavi iz aluminijskog plastificiranog lima u RAL-u aluminijskih prozora, te termoizolacija i hidroizolacija na spoju sa zidom. Unutarnja prozorska klupčica iz aluminijskog lima, vanjska tipska aluminijska.
Obračun po komadu.                              Prema shemi, ispunjeno IZO staklom, rastera polja širine 425/140 cm. POZ 6</t>
  </si>
  <si>
    <t>13.7.</t>
  </si>
  <si>
    <t>Izrada, dobava i montaža do potpune gotovosti al. prozora u sistemu profila sa termo ispunom: profili s prekinutim toplinskim mostom dubine okvira 85 mm, ispunjeni termo ispunom, s vidljivim krilom sa vanjske strane dubine 93 mm, plastificirani ili eloksirani u tonu. Način otvaranja prema pripadnim shemama ili fiksno. Okov za otvaranje prilagođen sustavu i po preporuci proizvođača sustava uz odobrenje projektanta.
Boja okova po odabiru investitora.                                                                                                                     Ostakljenje “IZO” staklom 6+14+4+14+4=42 mm, međuprostor ispunjen Argonom                                                                                          Prozor se ugrađuje na spoju sa zidom po sistemu RAL montaže. U cijenu su uključeni i svi potrebni rubni opšavi iz aluminijskog plastificiranog lima u RAL-u aluminijskih prozora, te termoizolacija i hidroizolacija na spoju sa zidom. Unutarnja prozorska klupčica iz aluminijskog lima, vanjska tipska aluminijska.
Obračun po komadu.                              Prema shemi, ispunjeno IZO staklom, rastera polja širine 190/60 cm. POZ 7</t>
  </si>
  <si>
    <t>13.8.</t>
  </si>
  <si>
    <t>13.9.</t>
  </si>
  <si>
    <t>Izrada, dobava i montaža do potpune gotovosti al. prozora u sistemu profila sa termo ispunom: profili s prekinutim toplinskim mostom dubine okvira 85 mm, ispunjeni termo ispunom, s vidljivim krilom sa vanjske strane dubine 93 mm, plastificirani ili eloksirani u tonu. Način otvaranja prema pripadnim shemama ili fiksno. Okov za otvaranje prilagođen sustavu i po preporuci proizvođača sustava uz odobrenje projektanta.
Boja okova po odabiru investitora.                                                                                                                     Ostakljenje “IZO” staklom 6+14+4+14+4=42 mm, međuprostor ispunjen Argonom                                                                                          Prozor se ugrađuje na spoju sa zidom po sistemu RAL montaže. U cijenu su uključeni i svi potrebni rubni opšavi iz aluminijskog plastificiranog lima u RAL-u aluminijskih prozora, te termoizolacija i hidroizolacija na spoju sa zidom. Unutarnja prozorska klupčica iz aluminijskog lima, vanjska tipska aluminijska.
Obračun po komadu.                              Prema shemi, ispunjeno IZO staklom, rastera polja širine 250/140 cm. POZ 9</t>
  </si>
  <si>
    <t>13.10.</t>
  </si>
  <si>
    <t>13.11.</t>
  </si>
  <si>
    <t>13.12.</t>
  </si>
  <si>
    <t>13.13.</t>
  </si>
  <si>
    <t>13.14.</t>
  </si>
  <si>
    <t>13.15.</t>
  </si>
  <si>
    <t>13.16.</t>
  </si>
  <si>
    <t>13.17.</t>
  </si>
  <si>
    <t>13.18.</t>
  </si>
  <si>
    <t>13.19.</t>
  </si>
  <si>
    <t>14.1.</t>
  </si>
  <si>
    <t>INSTALACIJA VODOVODA</t>
  </si>
  <si>
    <t>1. Građevinski radovi</t>
  </si>
  <si>
    <t>- strojni iskop</t>
  </si>
  <si>
    <r>
      <t>m</t>
    </r>
    <r>
      <rPr>
        <vertAlign val="superscript"/>
        <sz val="10"/>
        <color theme="1"/>
        <rFont val="Arial"/>
        <family val="2"/>
        <charset val="238"/>
      </rPr>
      <t>3</t>
    </r>
  </si>
  <si>
    <t>Planiranje dna rova na projektnu dubinu s točnošću ± 2 cm.</t>
  </si>
  <si>
    <r>
      <t>m</t>
    </r>
    <r>
      <rPr>
        <vertAlign val="superscript"/>
        <sz val="10"/>
        <color theme="1"/>
        <rFont val="Arial"/>
        <family val="2"/>
        <charset val="238"/>
      </rPr>
      <t>2</t>
    </r>
  </si>
  <si>
    <t>- dobava, razastiranje i nabijanje tamponskog sloja šljunka na dno iskopa u sloju od 20 cm</t>
  </si>
  <si>
    <t>Nabava, dobava i ugradnja posteljice od pijeska ispod cijevi, debljine 10,0 cm uz grubo poravnanje radi pravilnog nalijeganja cjevovoda.</t>
  </si>
  <si>
    <t>1.6.</t>
  </si>
  <si>
    <t xml:space="preserve">Nabava, dobava i ugradnja, te ručno zatrpavanje pješčanim materijalom oko 30,0 cm iznad tjemena vodovodnih cijevi uz pažljivo nabijanje. Mjesta spojeva cijevi ostaviti nezasute do tlačne probe.
</t>
  </si>
  <si>
    <t>1.7.</t>
  </si>
  <si>
    <t>Strojno zatrpavanje rova materijalom iz iskopa u slojevima d = 30 cm uz pažljivo nabijanje. Zatrpavanje izvesti nakon izvršene montaže i po izvršenoj tlačnoj probi cjevovoda uz odobrenje nadzornog inženjera.</t>
  </si>
  <si>
    <t>1.8.</t>
  </si>
  <si>
    <t>1.9.</t>
  </si>
  <si>
    <t>Odvoz preostalog materijala nakon zatrpavanja rova na deponiju udaljenu max 5,0 km. Naknadu za deponiranje uključiti u cijenu.</t>
  </si>
  <si>
    <t>Instalacija vodovoda - 1. Građevinski radovi</t>
  </si>
  <si>
    <t>2. Montažni radovi</t>
  </si>
  <si>
    <t xml:space="preserve">- PE-HD cijevi fi 25 mm </t>
  </si>
  <si>
    <t>Nabava, dobava i ugradnja PP-R cijevi sa svim potrebnim fazonskim i spojnim elementima i brtvenim materijalom te izrada instalacije u građevini prema priloženoj shemi - hladna voda. Radove izvesti prije gletanja i ličenja zidova. Koljena obuhvatiti u cijenu ugrađenih cjevovoda. Unutarnji razvod izvesti od cijevi nepropusne za  kisik prema DIN-4726 s unutrašnjim zaštitnim slojem, PP-R za radni tlak do 10 bara i maksimalnu radnu temperaturu vode do 95°C.</t>
  </si>
  <si>
    <t xml:space="preserve">- PP-R cijevi fi 15 mm </t>
  </si>
  <si>
    <t xml:space="preserve">- PP-R cijevi fi 20 mm </t>
  </si>
  <si>
    <t xml:space="preserve">- PP-R cijevi fi 25 mm </t>
  </si>
  <si>
    <t>Nabava, dobava i ugradnja PP-R cijevi sa svim potrebnim fazonskim i spojnim elementima i brtvenim materijalom te izrada instalacije u građevini prema priloženoj shemi - topla voda. Radove izvesti prije gletanja i ličenja zidova. Koljena obuhvatiti u cijenu ugrađenih cjevovoda. Unutarnji razvod izvesti od cijevi nepropusne za  kisik prema DIN-4726 s unutrašnjim zaštitnim slojem, PP-R za radni tlak do 10 bara i maksimalnu radnu temperaturu vode do 95°C.</t>
  </si>
  <si>
    <t>Nabava, doprema na gradilište i montaža podžbuknog ventila sa metalnom kromiranom kapom i metalnom kromiranom rozetom. U cijenu uključiti vrijednost svih radova i materijal.</t>
  </si>
  <si>
    <t xml:space="preserve">- nabava i ugradnja PP-R cijevi fi 15 mm </t>
  </si>
  <si>
    <t xml:space="preserve">- nabava i ugradnja PP-R cijevi fi 20 mm </t>
  </si>
  <si>
    <t>2.8.</t>
  </si>
  <si>
    <t>Tlačna proba izvedene vodovodne instalacije tlakom od 10 bara u trajanju minimalno 12 sati s osiguranjem potrebne količine vode za punjenje cjevovoda. Kontrola s radnim i kontrolnim manometrom, te ispuštanje vode po završenoj probi. Obuhvaćeno ispitivanje vanjske i unutarnje vodovodne mreže te izrada zapisnika o tlačnoj probi.</t>
  </si>
  <si>
    <t>Ispiranje i dezinficiranje cjevovoda i osiguranje atesta o ispitivanju vode (bakteriološko i mineralna ulja).</t>
  </si>
  <si>
    <t>Instalacija vodovoda - 2. Montažni radovi</t>
  </si>
  <si>
    <t>3. Sanitarna oprema</t>
  </si>
  <si>
    <t>Nabava, dobava i ugradnja štednih vodovodnih armatura s umivaonikom, aktiviranje s prednje strane na pokret ruku, s mogućnošću promjene duljine toka vode, komplet s priključnim ventilom za vodu od 1/2", Komplet čini i zidni umivaonik.
Obračun po kompletno ugrađenoj i ispitanoj opremi, sa svim potrebnim materijalom i radom, u punoj funkcionalnosti.</t>
  </si>
  <si>
    <t>Nabava, dobava i ugradnja štednih vodokotlića s wc školjkom za invalide s rukohvatom, sa kapacitetom od 9l s dvije količine ispiranja   (3 l i 6 l), s mogućnošću promjene količine na ispiranje sa zaustavljanjem, aktiviranje s prednje strane, komplet s priključnim ventilom za vodu od 1/2", s izljevnim koljenom od fi 90 s redukcijom na fi 110. Komplet čini potisna ploča za dvokoličinsku tehnkui ispiranja i s mogušnošću zaustavljanja. 
Obračun po kompletno ugrađenoj i ispitanoj opremi, sa svim potrebnim materijalom i radom, u punoj funkcionalnosti.</t>
  </si>
  <si>
    <t>Nabava, dobava i ugradnja štednih vodovodnih armatura sa sudoperom, aktiviranje s prednje strane na pokret ruku, s mogućnošću promjene duljine toka vode, komplet s priključnim ventilom za vodu od 1/2", Komplet čini i sudoper. 
Obračun po kompletno ugrađenoj i ispitanoj opremi, sa svim potrebnim materijalom i radom, u punoj funkcionalnosti.</t>
  </si>
  <si>
    <t>Nabava i ugradnja polukristalnog zrcala od stakla debljine 4 mm, s etažerima od kaljenog stakla, dimenzija 600 x 400 mm. Boja i kvalitet prema izboru investitora, 150,00 kn. Stavka podrazumjeva i sav potreban pribor za ugradnju.</t>
  </si>
  <si>
    <t>Nabava, dobava i ugradnja sanitarnog pribora i sitne galanterije prema zahtjevu investitora.
Stavka podrazumjeva sav potreban alat i pribor za ugradnju.</t>
  </si>
  <si>
    <t>- držač za papirnate ručnike u roli</t>
  </si>
  <si>
    <t>- zidni držač za sapun - tekući</t>
  </si>
  <si>
    <t>- držač za toaletni papir</t>
  </si>
  <si>
    <t>- četka za wc sa posudom</t>
  </si>
  <si>
    <t>- koš za otpad</t>
  </si>
  <si>
    <t>Instalacija vodovoda - 3. Sanitarna oprema</t>
  </si>
  <si>
    <t>INSTALACIJA KANALIZACIJE</t>
  </si>
  <si>
    <t>4. Građevinski radovi</t>
  </si>
  <si>
    <t>Geodetsko praćenje svih radova na izvedbi instalacije vanjske i unutrašnje kanalizacije, uključivo stacioniranje svih točaka na terenu s izradom snimka izvedenog stanja.</t>
  </si>
  <si>
    <t>4.3.</t>
  </si>
  <si>
    <t>4.4.</t>
  </si>
  <si>
    <t>4.5.</t>
  </si>
  <si>
    <t>4.6.</t>
  </si>
  <si>
    <t>4.7.</t>
  </si>
  <si>
    <t>Strojno zatrpavanje materijalom iz iskopa u slojevima d = 30 cm uz pažljivo nabijanje. Zatrpavanje izvoditi po dionicama s izvršenom probom protočnosti uz odobrenje nadzornog inženjera.</t>
  </si>
  <si>
    <t>4.8.</t>
  </si>
  <si>
    <t>4.9.</t>
  </si>
  <si>
    <t>Instalacija kanalizacije - 4. Građevinski radovi</t>
  </si>
  <si>
    <t>5. Montažni radovi</t>
  </si>
  <si>
    <t xml:space="preserve">Nabava, dobava i ugradnja PVC kanalizacijskih cijevi s naglavnim spojevima i svim potrebnim fazonskim komadima koji nisu posebno specificirani, spojnim i brtvenim materijalom, materijalom za pričvršćenje i zavješenje, svi radovi i radna skela ukoliko je potrebna. Stavka uključuje i izrada šliceva u zidovima i podovima, te popravke istih nakon ugradnje cijevi. </t>
  </si>
  <si>
    <t>- PVC DN 50</t>
  </si>
  <si>
    <t>- PVC DN 110</t>
  </si>
  <si>
    <t>- PVC DN 160</t>
  </si>
  <si>
    <t>- revizijski komad fi 110</t>
  </si>
  <si>
    <t>Nabava, doprema na gradilište i ugradnja kromiranih vratašaca 30x30 cm za reviziju kanalizacije unutar objekta. U cijenu uključiti vrijednost svih radova, materijala, do potpune gotovosti.</t>
  </si>
  <si>
    <t>Ispitivanje vertikalne i horizontalne kanalizacije na protočnost i nepropusnost, te ispiranje kanalizacije.</t>
  </si>
  <si>
    <t>Instalacija kanalizacije - 5. Montažni radovi</t>
  </si>
  <si>
    <t>INSTALACIJA HIDRANTSKE MREŽE</t>
  </si>
  <si>
    <t>6. Montažni radovi</t>
  </si>
  <si>
    <t>Nabava, doprema na gradilište  i montaža vatrogasnih aparata.
Obračun po kompletno ugrađenom aparatu.</t>
  </si>
  <si>
    <t>- tip S - 9</t>
  </si>
  <si>
    <t>- tip S - 6</t>
  </si>
  <si>
    <t>6.4.</t>
  </si>
  <si>
    <t>Nabava, dobava i ugradnja PE-HD cijevi sa svim potrebnim fazonskim i spojnim elementima i brtvenim materijalom te izrada instalacije u građevini prema priloženoj shemi - hladna voda. Radove izvesti prije gletanja i ličenja zidova. Koljena obuhvatiti u cijenu ugrađenih cjevovoda. Unutarnji razvod izvesti od cijevi nepropusne za  kisik prema DIN-4726 s unutrašnjim zaštitnim slojem, PP-R za radni tlak do 10 bara i maksimalnu radnu temperaturu vode do 95°C.</t>
  </si>
  <si>
    <t xml:space="preserve">- PE-HD cijevi fi 50 mm </t>
  </si>
  <si>
    <t>6.5.</t>
  </si>
  <si>
    <t>Tlačna proba izvedene hidrantske instalacije tlakom od 10 bara u trajanju minimalno 12 sati s osiguranjem potrebne količine vode za punjenje cjevovoda. Kontrola s radnim i kontrolnim manometrom, te ispuštanje vode po završenoj probi. Obuhvaćeno ispitivanje vanjske i unutarnje hidrantske mreže te izrada zapisnika o tlačnoj probi.</t>
  </si>
  <si>
    <t>Instalacija hidrantske mreže - 6. Montažni radovi</t>
  </si>
  <si>
    <t>Izrada i ugradnja betona C 25/30 u armirane konstrukcije, AB zidove, na koti +/- 0,00 na više. U cijenu uračunata dobava i ugradnja armature prema statičkom proračunu, i izrada oplate. ZIDOVI SABIRNE JAME.</t>
  </si>
  <si>
    <t>PDV:</t>
  </si>
  <si>
    <t>UKUPNO S PDV-om:</t>
  </si>
  <si>
    <t>1. Pripremni radovi</t>
  </si>
  <si>
    <t>Priprema - formiranje gradilišta, dobava svih potrebnih transportnih i radnih sredstava, prijava gradilišta nadležnim općinskim i državnim organima. Izrada svih potrebnih tehnologija izvođenja radova i ovjeravanje istih kod nadležnih tijela, projektanta i nadzornog inženjera.</t>
  </si>
  <si>
    <t>Iskolčavanje trase i objekata. Sva geodetska mjerenja kojima se podaci iz projekta prenose na teren ili s terena u projekte, za cijelo vrijeme građenja, odnosno do predaje radova investitoru, a mjeri se i plaća po metru kvadratnom trase i priključnih cesta. Rad se mjeri po metru kvadratnom trase u skladu s projektom.</t>
  </si>
  <si>
    <t>Izrada geodetskog snimka izvedenog stanja trase sa izradom elaborata i ucrtavanjem u zemljišne knjige u katastarkom uredu. Rad se mjeri po metru kvadratnom trase u skladu s projektom.</t>
  </si>
  <si>
    <t>2. Zemljani radovi</t>
  </si>
  <si>
    <t>3. Kolnička konstruckija</t>
  </si>
  <si>
    <t>- 31,5 mm - 64,0 mm, d = 35,0 cm</t>
  </si>
  <si>
    <t>3.10.</t>
  </si>
  <si>
    <t>Nabava, dobava i ugradnja rubnjaka 18/24 cm. Stavka obuhvaća nabavu i ugradnju betonskog rubnjaka 18/24 cm na prethodno izvedenu podlogu od svježeg betona C12/15 (MB15) prema detalju iz projekta.
Beton ugrađenog rubnjaka mora biti klase C 40/45 (MB 45) – v/c faktor ispod 0,45, otporan na smrzavanje i soli za odmrzavanje.</t>
  </si>
  <si>
    <t>3. Kolnička konstrukcija</t>
  </si>
  <si>
    <t>Nabava, dobava i ugradnja kanalizacijskih polietilenskih cijevi sa naglavkom i brtvom minimalne obodne krutosti SN4. U čitavom području polaganja posteljica mora biti zbijena na Ms = 20 MPa. Rad se mjeri po metru dužnom kompletno ugrađenih cijevi.
Prema OTU 3-04.3</t>
  </si>
  <si>
    <t>5. Građevinski radovi</t>
  </si>
  <si>
    <t>- ručni iskop</t>
  </si>
  <si>
    <t>6. Prometna signalizacija</t>
  </si>
  <si>
    <t>Nabava, dobava i ugradnja prema situacijskom nacrtu, ugradnja prometnih znakova, komplet znak, stup i betonski temelj.</t>
  </si>
  <si>
    <t>- znak B 02</t>
  </si>
  <si>
    <t>Izrada horizontalne signalizacije prema situacijskom nacrtu.</t>
  </si>
  <si>
    <t>- oznaka parkirnih mjesta</t>
  </si>
  <si>
    <t>- "STOP"</t>
  </si>
  <si>
    <t>7. Hortikultura</t>
  </si>
  <si>
    <r>
      <t>Ručna sjetva sjemena (2 dkg/m</t>
    </r>
    <r>
      <rPr>
        <vertAlign val="superscript"/>
        <sz val="10"/>
        <color theme="1"/>
        <rFont val="Arial"/>
        <family val="2"/>
        <charset val="238"/>
      </rPr>
      <t>2</t>
    </r>
    <r>
      <rPr>
        <sz val="10"/>
        <color theme="1"/>
        <rFont val="Arial"/>
        <family val="2"/>
        <charset val="238"/>
      </rPr>
      <t>), ručno ježenje i valjanje  sa drvenim valjkom. Jedno zalijevanje vodom iz vodovoda.</t>
    </r>
  </si>
  <si>
    <t>Nabava, dobava i sadnja drveća i ukrasnih grmova prema želji investitora. Točna situacija sadnje će biti prikazana u izvedbenom projektu.
- stavka se obračunava po komadu zasađene biljke.</t>
  </si>
  <si>
    <t>- beton C 12/15</t>
  </si>
  <si>
    <t>Geodetsko praćenje svih radova na izvedbi priključaka zgrade na vanjsku vodovodnu mrežu, uključivo stacioniranje svih točaka na terenu s izradom snimka izvedenog stanja.</t>
  </si>
  <si>
    <t>Razni iskopi u tlu III i IV kategorije (šahtovi, rovovi, okna i sl.) s pravilnim zasjecanjem bočnih stranica i dna iskopa, širine rova 0,6 m, prosječne dubine 1,2 m s odlaganjem iskopanog materijala na stranu, 2,0 m od ivice rova, radi kasnije uporabe ili 200,0 m. Predvidjeti razupiranje oplatom i crpljenje vode. Posebnu pozornost obratiti na križanja s ostalim instalacijama.</t>
  </si>
  <si>
    <t>Nabava, dobava i ugradnja, razastiranje i nabijanje tamponskog sloja šljunka na dno iskopa u sloju od 20 cm, kao podloga izradi podne ploče vodomjernog okna.</t>
  </si>
  <si>
    <t>Iskop, nabava i doprema na gradilište materijala i izvedba armiranobetonske komore za vodomjer u vodonepropusnom betonu C3/37 sa atestom za vodonepropusnost i odgovarajućoj oplati. Ulaz u komoru izvesti veličine 60/60 cm s pripadajućim tipskim lijevano željeznim poklopcem klase nosivosti 15 kN i penjalicama na razmaku 30 cm. S unutarnje strane zidove i dno obraditi vodonepropusnom žbukom.
Prodore cijevi kroz stijenke izvršiti bušenjem uređajima s krunom i ugradnjom provodnica DN50 (2x) i DN25 (1x).</t>
  </si>
  <si>
    <t>Nabava, dobava i ugradnja štednih vodokotlića s wc školjkom, sa kapacitetom od 9l s dvije količine ispiranja (3 l i 6 l), s mogućnošću promjene količine na ispiranje sa zaustavljanjem, aktiviranje s prednje strane, komplet s priključnim ventilom za vodu od 1/2", s izljevnim koljenom od fi 90 s redukcijom na fi 110. Komplet čini potisna ploča za dvokoličinsku tehnkui ispiranja i s mogušnošću zaustavljanja. 
Obračun po kompletno ugrađenoj i ispitanoj opremi, sa svim potrebnim materijalom i radom, u punoj funkcionalnosti.</t>
  </si>
  <si>
    <t>Nabava, dobava i ugradnja pisoara, aktiviranje s prednje strane na pokret, s mogućnošću promjene duljine toka vode, komplet s priključnim ventilom za vodu od 1/2", Komplet čini i zidni pisoar. 
Obračun po kompletno ugrađenoj i ispitanoj opremi, sa svim potrebnim materijalom i radom, u punoj funkcionalnosti.</t>
  </si>
  <si>
    <t>Razni iskopi u tlu III i IV kategorije (šahtovi, rovovi i sl.) s pravilnim zasjecanjem stranica i dna iskopa, širine rova 0,80 m, dubine do 2,00 m sa odlaganjem iskopanog materijala na stranu, 2 m od ivice rova, radi kasnije uporabe ili odvozom na privremenu deponiju na udaljenosti do 200 m. Predvidjeti razupiranje oplatom i crpljenje vode. Posebnu pozornost obratiti na križanja s ostalim instalacijama.
Količine podrazumijevaju temeljne razvode sanitarne i oborinske kanalizacije.</t>
  </si>
  <si>
    <t>Nabava, dobava i ugradnja, razastiranje i nabijanje tamponskog sloja šljunka na dno iskopa u sloju od 20 cm, kao podloga za izradu podne ploče revizisjkog okna.</t>
  </si>
  <si>
    <t>Nabava i dobava na gradilište materijal, te izrada revizionog okna vanjskih dim. 120 x 120 cm, debljine stjenke 20 cm u vodonepropusnom betonu klase C 25/30, komplet sa lijevanoželjeznim poklopcem 600 x 600 mm, nosivosti 15 kN, ugrađenim ljevanoželjeznim penjalicama i kinetom.  
Stavka podrazumjeva kompletne radove (oplata, priključci na kanalizacijske cijevi ....) i materijal. 
Obračun po kompletno izvedenom i priključenom oknu.</t>
  </si>
  <si>
    <t>Nabava, doprema na gradilište i ugradnja ventilacijskih kapa od PVC-a na završecima kanala vertikala (0,5 m od krova). U cijenu uključiti vrijednosti svih radova i materijal.</t>
  </si>
  <si>
    <t>Nabava, doprema na gradilište i ugradnja vertikalnih PVC oluka. U cijenu uključiti vrijednost svih radova, materijala i ovjesa.</t>
  </si>
  <si>
    <t>- fi 125</t>
  </si>
  <si>
    <t>Nabava, doprema na gradilište i ugradnja horizontalnih PVC oluka. U cijenu uključiti vrijednost svih radova, materijala i ovjesa.</t>
  </si>
  <si>
    <t>Nabava, doprema na gradilište i ugradnja žabljih poklopaca na mjestima spoja vertikala krova i zemlje, u razini poda. U cijenu uključiti vrijednost svih radova, materijala, do potpune gotovosti.</t>
  </si>
  <si>
    <t xml:space="preserve">Strojni iskopi tla prema odredbama projekta s utovarom u prijevozno sredstvo, u materijalu kategorije “C”, u trasi (usjek ili zasjek). Iskop je predviđen za cijevne rovove, drenažne rovove, slivnike, revizijska okna, te usjeke i zasjeke ceste. U stavku je uključen utovar i prijevoz do mjesta ugradnje. </t>
  </si>
  <si>
    <t>- 0,0 - 4,0 mm, 8,0 - 16,0 mm, d = 5,0 cm</t>
  </si>
  <si>
    <t>Strojna izrada posteljice od miješanih materijala, završnog sloja usjeka ili nasipa, ujednačene nosivosti, s grubim i finim planiranjem, eventualnom sanacijom pojedinih manjih površina slabijeg materijala i zbijanjem do tražene vrijednosti od 7,0% po CBR-u, uz potrebno vlaženje ili sušenje, sve prema projektu. U cijeni je uključen sav rad, materijal te prevozi, potrebni za potpuno dovršenje uređene i zbijene posteljice. Prometne, manipulativne i pješačke površine.</t>
  </si>
  <si>
    <t>Strojna izrada nosivog sloja od zrnatog kamenog materijala veličine zrna od 31,5 mm do 64,00 mm bez veziva, u debljini prema projektu. Tražena vrijednost zbijenosti je 40,0% po CBR-u. U cijenu je uključena dobava kamenih prirodnih ili drobljenih zrnatih materijala kakvoće i granulometrije prema zahtjevima projekta i OTU, utovar, prijevoz, i ugradba (strojno razastiranje, planiranje i zbijanje do traženog modula stišljivosti ili stupnja zbijenosti) na uređenu i preuzetu podlogu. Izravnavajući sloj debljine 5 cm. Prometne i manipulativne površine, d = 40,0 cm.</t>
  </si>
  <si>
    <t>Strojna izrada nosivog sloja od zrnatog kamenog materijala veličine zrna od 31,5 mm do 64,00 mm bez veziva, u debljini prema projektu.  Tražena vrijednost zbijenosti je 40,0% po CBR-u. U cijenu je uključena dobava kamenih prirodnih ili drobljenih zrnatih materijala kakvoće i granulometrije prema zahtjevima projekta i OTU, utovar, prijevoz, i ugradba (strojno razastiranje, planiranje i zbijanje do traženog modula stišljivosti ili stupnja zbijenosti) na uređenu i preuzetu podlogu. Rad se mjeri u kubičnim metrima ugrađenog materijala u zbijenom stanju. Izravnavajući sloj debljine 5 cm. Pješačke površine, d = 25,0 cm.</t>
  </si>
  <si>
    <t>- 31,5 mm - 64,0 mm, d = 20,0 cm</t>
  </si>
  <si>
    <t>- 0,0 - 4,0 mm, 8,0 - 16,0 mm, d = 5,00 cm</t>
  </si>
  <si>
    <t>Nabava, dobava i ugradnja bitumeniziranog nosivog sloja. Stavka obuhvaća nabavu i ugradnju bitumeniziranog nosivog sloja BNS 22 A debljine 8,0 cm  za prometne površine.</t>
  </si>
  <si>
    <t>Nabava, dobava i ugradnja završnog sloja od betonske galanterije, debljine 10,0 cm. U Cijenu stavke uračunat sav materijal i rad.</t>
  </si>
  <si>
    <t>Nabava, dobava i ugradnja habajućeg sloja od asfaltbetona. Stavka obuhvaća nabavu i ugradnju habajućeg sloja  asfalt betona AB 11 debljine 4,0 cm za prometne površine.</t>
  </si>
  <si>
    <t>Nabava, dobava i ugradnja rubnjaka pješačke staze, 10/20 cm. Stavka obuhvaća nabavu i ugradnju betonskog rubnjaka 8/14 cm na prethodno izvedenu podlogu od svježeg betona C12/15 (MB15) prema detalju iz projekta.
Beton ugrađenog rubnjaka mora biti klase C 40/45 (MB 45) – v/c faktor ispod 0,45, otporan na smrzavanje i soli za odmrzavanje.</t>
  </si>
  <si>
    <t>Nabava, dobava i ugradnja materijala, izrada i ugradnja cestovnih slivnika Ø 50 cm prosječne dubine 1,50 m komplet sa lijevanoželjeznom rešetkom 400 x 400 mm, nosivosti 400 kN i ljevanoželjeznim penjalicama. Stavka podrazumjeva kompletne radove (spojevi, priključci na kanalizacijske cijevi ....) uz dobavu svih potrebnih materijala. Slivnik izvesti vodonepropusno.
Obračun po kompletno izvedenom slivniku.</t>
  </si>
  <si>
    <t>Nabava, dobava i ugradnja betonskih kanalica 10/33 cm. Stavka obuhvaća nabavu i ugradnju betonskih kanalica 10/33 cm na prethodno izvedenu podlogu od svježeg betona C12/15 (MB15) prema detalju iz projekta. 
Beton ugrađenog rubnjaka mora biti klase C 40/45 (MB 45) – v/c faktor ispod 0,45, otporan na smrzavanje i soli za odmrzavanje.</t>
  </si>
  <si>
    <t>- PVC DN 250</t>
  </si>
  <si>
    <t>Nabava, dobava, razastiranje i nabijanje tamponskog sloja šljunka na dno iskopa u sloju od 20 cm, kao podloga separatoru.</t>
  </si>
  <si>
    <t>- znak C 21</t>
  </si>
  <si>
    <t>- znak C 31</t>
  </si>
  <si>
    <t>- znak C 35</t>
  </si>
  <si>
    <t>Nabava, dobava i ugradnja betona C 12/15 u nearmirane konstrukcije, temelj znaka, na koti +/- 0,00 na više. U cijenu uračunata dobava i ugradnja betona. Betonski temelj znaka.</t>
  </si>
  <si>
    <t>Nabava, dobava, izrada, postavljanje i skidanje glatke daščane oplate za okno lifta, sa svim potrebnim ukrutama i razuporama. OKNO LIFTA.</t>
  </si>
  <si>
    <t>Nabava, dobava i ugradnja betona C25/30 u ab okno lifta u glatkoj oplati. Stavkom je obuhvaćena doprema betona iz tvornice betona, ugradba i njega betona nakon ugradbe. AB OKNO LIFTA.</t>
  </si>
  <si>
    <t>Nabava, dobava, izrada, postavljanje i skidanje glatke daščane oplate za vertikalne serklaže, presjeka 25/25 cm i visine do 4,00 m, sa svim potrebnim ukrutama i razuporama i podupiranjem. VERTIKLANI SERKLAŽI</t>
  </si>
  <si>
    <t>Nabava, dobava i polaganje termoizolacije poda 1. kata od tvrdih ploča XPS-a, debljine 5,0 cm, na izvedenu ab ploču stropova. U stavku je uračunat sav potreban materijal i rad. POD 1. KATA.</t>
  </si>
  <si>
    <t>Odvoz preostalog materijala nakon zatrpavanja rova na deponiju udaljenu max 5,0 km. Naknadu za deponiranje uključiti u cijenu. Koef. rastresitosti 1,30</t>
  </si>
  <si>
    <r>
      <t>Plitko prekapanje površine za usitnjavanje zemlje i kopanje gnojiva. Raznašanje i razbacivanje stajskog gnojiva ili komposta ili humovita:
10 lit/m</t>
    </r>
    <r>
      <rPr>
        <vertAlign val="superscript"/>
        <sz val="10"/>
        <color theme="1"/>
        <rFont val="Arial"/>
        <family val="2"/>
        <charset val="238"/>
      </rPr>
      <t>2</t>
    </r>
    <r>
      <rPr>
        <sz val="10"/>
        <color theme="1"/>
        <rFont val="Arial"/>
        <family val="2"/>
        <charset val="238"/>
      </rPr>
      <t xml:space="preserve"> </t>
    </r>
  </si>
  <si>
    <r>
      <t xml:space="preserve">Rasipanje umjetnih gnojiva:
</t>
    </r>
    <r>
      <rPr>
        <sz val="10"/>
        <color theme="1"/>
        <rFont val="Arial"/>
        <family val="2"/>
        <charset val="238"/>
      </rPr>
      <t>10 dkg/m</t>
    </r>
    <r>
      <rPr>
        <vertAlign val="superscript"/>
        <sz val="10"/>
        <color theme="1"/>
        <rFont val="Arial"/>
        <family val="2"/>
        <charset val="238"/>
      </rPr>
      <t>2</t>
    </r>
    <r>
      <rPr>
        <sz val="10"/>
        <color theme="1"/>
        <rFont val="Arial"/>
        <family val="2"/>
        <charset val="238"/>
      </rPr>
      <t xml:space="preserve"> </t>
    </r>
  </si>
  <si>
    <t>4. Oborinska odvodnja prometnica</t>
  </si>
  <si>
    <t>Odvoz preostalog materijala nakon zatrpavanja rova na deponiju udaljenu max 5,0 km. Naknadu za deponiranje uključiti u cijenu. Keof. rastresitosti 1,30</t>
  </si>
  <si>
    <t>8. Ostali radovi</t>
  </si>
  <si>
    <t>Izrada, dobava i montaža vanjskih žaluzina. Žaluzine moraju biti stabilne, nečujne, 
jednostavne za rukovanje, osigurati adekvatnu zaštitu od sunca i drugih vremenskih uvjeta, 
regulaciju svjetla, dugi vijek trajanja i jednostavno korištenje. 
Obavezna je mogućnost spuštanja i podizanja pomoću motornog pogona. Elektro motor s integriranim
krajnjim prekidačima može se po želji pokretati preko upravljačkih uređaja, 
daljinskog upravljača ili automatskih uređaja. Boja prema izboru investitora.
U stavku je uračunata izrada, dobava i montaža svih dodatni materijali potrebni za ugradnju do potpune gotovosti.</t>
  </si>
  <si>
    <t>POZ 9</t>
  </si>
  <si>
    <t>POZ 6</t>
  </si>
  <si>
    <t>TALOŽNICA</t>
  </si>
  <si>
    <t>Razni iskopi u tlu III i IV kategorije (mjesto za separator, šahtovi, rovovi i sl.) s pravilnim zasjecanjem stranica i dna iskopa, dubine do 2,0 m s odlaganjem iskopanog materijala na stranu, 2 m od ivice rova, radi kasnije uporabe ili odvozom na privremenu deponiju na udaljenosti do 200 m. Predvidjeti razupiranje oplatom i crpljenje vode. Posebnu pozornost obratiti na križanja s ostalim instalacijama.
Količine podrazumijevaju temeljne razvode taložnice.</t>
  </si>
  <si>
    <t>Nabava, dobava i ugradnja tipske taložnice, ugradnja prema detaljima i naputku proizvođača (obvezno dostaviti atestnu dokumentaciju), komplet s 1 lijevanoželjeznim poklopcem za optrećenje od 5,0 t i ugrađenim ljevanoželjeznim penjalicama. Stavka podrazumjeva kompletne radove (oplata, priključci na kanalizacijske cijevi...). 
Obračun po kompletno nabavljenom i ugrađenom taložnicom.</t>
  </si>
  <si>
    <t>Taložnica - 5. Građevinski radovi</t>
  </si>
  <si>
    <t>OPĆI PODACI</t>
  </si>
  <si>
    <t>za građevinu:</t>
  </si>
  <si>
    <t xml:space="preserve">POSLOVNO-PROIZVODNA ZGRADA </t>
  </si>
  <si>
    <t>investitor:</t>
  </si>
  <si>
    <t>Broj dizala za izvedbu:</t>
  </si>
  <si>
    <t>1 komad</t>
  </si>
  <si>
    <t>TEHNIČKI PODACI</t>
  </si>
  <si>
    <t xml:space="preserve">Dizalo: </t>
  </si>
  <si>
    <t>Vrsta dizala:</t>
  </si>
  <si>
    <t>Nosivost mase:</t>
  </si>
  <si>
    <t>630 kg / 8 osoba</t>
  </si>
  <si>
    <t>Brzina vožnje:</t>
  </si>
  <si>
    <t>1,0 m/s frekvencijski regulirana</t>
  </si>
  <si>
    <t>Visina dizanja:</t>
  </si>
  <si>
    <t>3,60 m</t>
  </si>
  <si>
    <t>Broj stanica/ulaza:</t>
  </si>
  <si>
    <t>2/2 (svi ulazi na istoj strani)</t>
  </si>
  <si>
    <t>Pogonsko postrojenje:</t>
  </si>
  <si>
    <t xml:space="preserve">bezreduktorski, sinkroni motor s permanentnim magnetima smješten u </t>
  </si>
  <si>
    <t>Ovjes:</t>
  </si>
  <si>
    <t>Upravljanje:</t>
  </si>
  <si>
    <t xml:space="preserve">simplex potpuno sabirno – mikroprocesorsko </t>
  </si>
  <si>
    <t>Napon upravljanja:</t>
  </si>
  <si>
    <t>110 V , AC</t>
  </si>
  <si>
    <t>Signalizacija i moduli:</t>
  </si>
  <si>
    <t>optička potvrda poziva , digitalni pokazivač položaja kabine u kabini HPI 15 crveni, strelica smjera daljne vožnje, alarma, preopterećenje,      nužna rasvjeta,</t>
  </si>
  <si>
    <t>Instalacija:</t>
  </si>
  <si>
    <t>za suhi prostor</t>
  </si>
  <si>
    <t>Napajanje:</t>
  </si>
  <si>
    <t>TN-C mreža, 3x400 V, N, 50 Hz</t>
  </si>
  <si>
    <t>Vozno okno:</t>
  </si>
  <si>
    <t>materijal:</t>
  </si>
  <si>
    <t xml:space="preserve">armirano-betonska konstrukcija </t>
  </si>
  <si>
    <t>tlocrtne dimenzije:</t>
  </si>
  <si>
    <t>širina 1820 mm, dubina 2250 mm</t>
  </si>
  <si>
    <t>dubina donjeg dijela:</t>
  </si>
  <si>
    <t>1000 mm</t>
  </si>
  <si>
    <t>visina gornjeg dijela:</t>
  </si>
  <si>
    <t>3700 mm</t>
  </si>
  <si>
    <t>provjetravanje:</t>
  </si>
  <si>
    <t>prema nacrtu</t>
  </si>
  <si>
    <t>Kabina:</t>
  </si>
  <si>
    <t>svijetle mjere:</t>
  </si>
  <si>
    <t>širina 1100 mm, dubina 1400 mm, visina 2200 mm</t>
  </si>
  <si>
    <t>vrata:</t>
  </si>
  <si>
    <t xml:space="preserve">automatska teleskopska vrata, širina 900 mm, visina 2100 mm brušeni inox 220
</t>
  </si>
  <si>
    <t>obloga stranica:</t>
  </si>
  <si>
    <t>brušeni inox 220</t>
  </si>
  <si>
    <t>obloga stropa:</t>
  </si>
  <si>
    <t xml:space="preserve">brušeni inox 220 </t>
  </si>
  <si>
    <t>obloga poda:</t>
  </si>
  <si>
    <t>kamen lokalno</t>
  </si>
  <si>
    <t>rasvjeta:</t>
  </si>
  <si>
    <t>LED stropna</t>
  </si>
  <si>
    <t>upravljanje:</t>
  </si>
  <si>
    <t>operacioni panel s mehaničkim tipkalima i reljefnim oznakama</t>
  </si>
  <si>
    <t>ostala oprema:</t>
  </si>
  <si>
    <t xml:space="preserve">rukohvat s jedne strane, zrcalo nasuprot upravljačke lamele, </t>
  </si>
  <si>
    <t>Vrata voznog okna:</t>
  </si>
  <si>
    <t xml:space="preserve">automatska teleskopska </t>
  </si>
  <si>
    <t>čelični lim</t>
  </si>
  <si>
    <t>svjetle mjere:</t>
  </si>
  <si>
    <t>širina 900 mm, visina 2100 mm</t>
  </si>
  <si>
    <t>obloga:</t>
  </si>
  <si>
    <t>vatrootpornost:</t>
  </si>
  <si>
    <t>Smještaj pogonskog stroja:</t>
  </si>
  <si>
    <t>na vrhu voznog okna u voznom oknu, prilaz s krova kabine iz najviše stanice</t>
  </si>
  <si>
    <t>Protuuteg:</t>
  </si>
  <si>
    <t>čelični okvir ispunjen elementima</t>
  </si>
  <si>
    <t>Smještaj:</t>
  </si>
  <si>
    <t>sa strane kabine</t>
  </si>
  <si>
    <t>NAPOMENA:</t>
  </si>
  <si>
    <t>Oprema i uređenje dizala može se mijenjati (definira se ugovorom s naručiteljem dizala)</t>
  </si>
  <si>
    <t>kn</t>
  </si>
  <si>
    <t>* uključujući transport do radilišta i istovar</t>
  </si>
  <si>
    <t>Rasvjeta voznog okna (vodovi i rasvjetna tijela)</t>
  </si>
  <si>
    <t>Odvoz i zbrinjavanje otpada  (odvoz do odlagališta otpada i reciklažnih dvorišta)</t>
  </si>
  <si>
    <t xml:space="preserve">* uključujući certifikate za ugrađene sigurnosne komponente </t>
  </si>
  <si>
    <t>* kod ovlaštene pravne osobe</t>
  </si>
  <si>
    <t>Ukupna cijena:</t>
  </si>
  <si>
    <t>Ostale napomene:</t>
  </si>
  <si>
    <r>
      <t>·</t>
    </r>
    <r>
      <rPr>
        <sz val="10"/>
        <rFont val="Times New Roman"/>
        <family val="1"/>
        <charset val="238"/>
      </rPr>
      <t xml:space="preserve">         </t>
    </r>
    <r>
      <rPr>
        <sz val="10"/>
        <rFont val="Arial Narrow"/>
        <family val="2"/>
        <charset val="238"/>
      </rPr>
      <t>Pravilniku o sigurnosti dizala (NN RH 58/10)</t>
    </r>
  </si>
  <si>
    <t>Garancija za ugrađenu opremu mora iznositi najmanje 2 godine, računajući od dana primopredaje dizala korisniku.</t>
  </si>
  <si>
    <t xml:space="preserve"> </t>
  </si>
  <si>
    <r>
      <t xml:space="preserve">Radovi koji </t>
    </r>
    <r>
      <rPr>
        <b/>
        <u/>
        <sz val="10"/>
        <rFont val="Arial Narrow"/>
        <family val="2"/>
        <charset val="238"/>
      </rPr>
      <t>nisu</t>
    </r>
    <r>
      <rPr>
        <b/>
        <sz val="10"/>
        <rFont val="Arial Narrow"/>
        <family val="2"/>
        <charset val="238"/>
      </rPr>
      <t xml:space="preserve"> uključeni u troškovnik isporuke i ugradnje dizala:</t>
    </r>
  </si>
  <si>
    <t>Postavljanje napojnog voda za dizalo - sukladno projektnom nacrtu</t>
  </si>
  <si>
    <t>Dovod gromobranske instalacije - sukladno projektnom nacrtu</t>
  </si>
  <si>
    <t>Završna obrada otvora nakon ugradnje vrata voznog okna</t>
  </si>
  <si>
    <t>Žaluzina za zaštitu otvora za provjetravanje u vrhu voznog okna</t>
  </si>
  <si>
    <t>Osigurati rasvjetu ispred ulaza u vozno okno min. 50 lx mjereno na podu</t>
  </si>
  <si>
    <t>Osigurati rasvjetu ispred upravljačkog ormara min. 200 lx mjereno na podu (najviša stanica dizala)</t>
  </si>
  <si>
    <t>Telefonska linija</t>
  </si>
  <si>
    <t xml:space="preserve">Kombinirani strojno-ručni iskop zemljišta za trakaste temelje širine d=60,0 cm, temeljnu ploču lifta i temeljnih stopa za stupove, do projektirane kote iskopa od 90,0 cm. Iskopanu zemlju potrebno odvesti na deponiju koji će biti dio posebne stavke. </t>
  </si>
  <si>
    <t>Nabava, dobava i izrada hidroizolacije podova prizemlja i kata ispod toaleta, te okno dna lifta i zidova do razine terena, u slojevima 3+2. Slojevi se sastoje od nanošenje temeljnog polimer-bitumenskog premaza i bitumenskih traka. Varenje dvije plastomerne bitumenske hidroizolacijske trake visoke kvalitete s preklopima od 10,0 cm. U stavku uračunat sav potreban materijal i rad.</t>
  </si>
  <si>
    <t>Nabava, dobava i polaganje parne brane d=0,25 mm, kao zaštita toplinske izolacije s donje strane u stropu. U stavku je uračunat sav potreban materijal i rad.</t>
  </si>
  <si>
    <t>Nabava, dobava i polaganje Pe folije d=0,25 mm, kao zaštita toplinske izolacije s gornje strane u podu i stropu. U stavku je uračunat sav potreban materijal i rad.</t>
  </si>
  <si>
    <t>12.3.</t>
  </si>
  <si>
    <t>12.4.</t>
  </si>
  <si>
    <t>13. Bravarski i staklorezački radovi</t>
  </si>
  <si>
    <t>Izrada, dobava i montaža do potpune gotovosti al. prozora u sistemu profila sa termo ispunom: profili s prekinutim toplinskim mostom dubine okvira 85 mm, ispunjeni termo ispunom, s vidljivim krilom sa vanjske strane dubine 93 mm, plastificirani ili eloksirani u tonu. Način otvaranja prema pripadnim shemama ili fiksno. Okov za otvaranje prilagođen sustavu i po preporuci proizvođača sustava uz odobrenje projektanta.
Boja okova po odabiru investitora.                                                                                                                     Ostakljenje “IZO” staklom 6+14+4+14+4=42 mm, međuprostor ispunjen Argonom                                                                                          Prozor se ugrađuje na spoju sa zidom po sistemu RAL montaže. U cijenu su uključeni i svi potrebni rubni opšavi iz aluminijskog plastificiranog lima u RAL-u aluminijskih prozora, te termoizolacija i hidroizolacija na spoju sa zidom. Unutarnja prozorska klupčica iz aluminijskog lima, vanjska tipska aluminijska.
Obračun po komadu.                              Prema shemi, ispunjeno IZO staklom, rastera polja širine 100/60 cm. POZ 13</t>
  </si>
  <si>
    <t>m2</t>
  </si>
  <si>
    <t>13.20.</t>
  </si>
  <si>
    <t>13.21.</t>
  </si>
  <si>
    <t>13.22.</t>
  </si>
  <si>
    <t>14. Zaštita od sunca</t>
  </si>
  <si>
    <t>Strojna izrada sloja od pijeska bez veziva, u debljini prema projektu, kao podloga betonskoh galanteriji pješačke staze. U cijenu je uključena dobava pijeska, kakvoće i granulometrije prema zahtjevima projekta i OTU, utovar, prijevoz, i ugradba (strojno razastiranje, planiranje i zbijanje do traženog modula stišljivosti ili stupnja zbijenosti) na uređenu i preuzetu podlogu. Rad se mjeri u kubičnim metrima ugrađenog materijala u zbijenom stanju. D = 3,0 - 5,0 cm. Podloga pješačke staze.</t>
  </si>
  <si>
    <t>Nabava, dobava i izrada ograde od tipskih montažnih AB stupova dim. 12/12/280 cm, postavljenim na osnom razmaku od 2,00 m i žičanog pletiva veličine oka 40/40mm. Visina ograde iznosi 2,00m. U gornji i donji rub i kroz sredinu pletiva se uvlači poc. žica. U stavku uključeno i betoniranje temelja 0,3*0,3*0,5 u stupove, te sav potreban materijal i rad do potupne gotovosti stavke. Napomena: ograda ne smije biti od vodljivih materijala!</t>
  </si>
  <si>
    <t>Odvoz preostalog materijala nakon zatrpavanja rova na deponiju udaljenu max 5,0 km. Naknadu za deponiranje uključiti u cijenu stavke. Koef. rastresitosti 1,30</t>
  </si>
  <si>
    <t xml:space="preserve">Izrada priključka na vodovodnu mrežu, uz nabavu, dopremu na gradilište i montažu u vodomjernom oknu, vodomjera odobrenog od strane Državnog zavoda za mjeriteljstvo, fitinga, zapornih tijela sa svim spojnim i brtvenim materijalom. U cijenu uključiti dobavu, montažu, ispitivanja, antikorozivnu zaštitu svih dijelova i spoj sa javnom mrežom. </t>
  </si>
  <si>
    <t xml:space="preserve">Nabava, dobava i ugradnja na gradilište PE-HD cijevi sa odgovarajućim spojnim materijalom i fazonskim komadima za izradu vanjske vodovodne mreže za radni tlak do 10 bara. </t>
  </si>
  <si>
    <t xml:space="preserve">Izrada priključka na kanalizacijsku mrežu, uz nabavu, dopremu na gradilište i montažu svog potrebnog materijala do potpune gotovosti. U cijenu uključiti dobavu, montažu i spoj sa javnom mrežom. </t>
  </si>
  <si>
    <t>Izrada, dobava i montaža do potpune gotovosti al. vrata: dubine okvira 45 mm, s vidljivim krilom s vanjske strane dubine 93 mm, plastificirani ili eloksirani u tonu. Način otvaranja prema pripadnim shemama. Okov za otvaranje prilagođen sustavu i po preporuci proizvođača sustava uz odobrenje projektanta. Vrata moraju biti protupožarna.
Boja okova po odabiru investitora.                                                                                                                     Ostakljenje staklom 6+14+4=24 mm, jedno staklo mutno.                                                                                         U cijenu su uključeni i svi potrebni rubni opšavi iz aluminijskog plastificiranog lima u RAL-u aluminijskih prozora. 
Prema shemi, rastera polja širine 120/210 cm. POZ 2</t>
  </si>
  <si>
    <t>Izrada, dobava i montaža do potpune gotovosti al. vrata: dubine okvira 45 mm, s vidljivim krilom s vanjske strane dubine 93 mm, plastificirani ili eloksirani u tonu. Način otvaranja prema pripadnim shemama. Okov za otvaranje prilagođen sustavu i po preporuci proizvođača sustava uz odobrenje projektanta. Vrata moraju biti protupožarna.
Boja okova po odabiru investitora.                                                                                                                     Ostakljenje staklom 6+14+4=24 mm, jedno staklo mutno.                                                                                         U cijenu su uključeni i svi potrebni rubni opšavi iz aluminijskog plastificiranog lima u RAL-u aluminijskih prozora. 
Prema shemi, rastera polja širine 100/210 cm. POZ 3</t>
  </si>
  <si>
    <t>Izrada, dobava i montaža do potpune gotovosti al. vrata: dubine okvira 45 mm, s vidljivim krilom s vanjske strane dubine 93 mm, plastificirani ili eloksirani u tonu. Način otvaranja prema pripadnim shemama. Okov za otvaranje prilagođen sustavu i po preporuci proizvođača sustava uz odobrenje projektanta. 
Boja okova po odabiru investitora.                                                                                                                     Ostakljenje staklom 6+14+4=24 mm, jedno staklo mutno.                                                                                         U cijenu su uključeni i svi potrebni rubni opšavi iz aluminijskog plastificiranog lima u RAL-u aluminijskih prozora. 
Prema shemi, rastera polja širine 100/210 cm. POZ 3</t>
  </si>
  <si>
    <t>Izrada, dobava i montaža do potpune gotovosti al. vrata: dubine okvira 45 mm, s vidljivim krilom s vanjske strane dubine 93 mm, plastificirani ili eloksirani u tonu. Način otvaranja prema pripadnim shemama. Okov za otvaranje prilagođen sustavu i po preporuci proizvođača sustava uz odobrenje projektanta. 
Boja okova po odabiru investitora.                                                                                                                     Ostakljenje staklom 6+14+4=24 mm, jedno staklo mutno.                                                                                         U cijenu su uključeni i svi potrebni rubni opšavi iz aluminijskog plastificiranog lima u RAL-u aluminijskih prozora. 
Prema shemi, rastera polja širine 120/210 cm. POZ 4</t>
  </si>
  <si>
    <t>Izrada, dobava i montaža do potpune gotovosti rolovrata na ulazu u skladište. 
Boja okova po odabiru investitora.                                                                                                                 U cijenu stavke je uključen sav potreban materijal i rad. 
Prema shemi, rastera polja širine 300/550 cm. POZ 5</t>
  </si>
  <si>
    <t>Izrada, dobava i montaža do potpune gotovosti al. prozora u sistemu profila sa termo ispunom: profili s prekinutim toplinskim mostom dubine okvira 85 mm, ispunjeni termo ispunom, s vidljivim krilom sa vanjske strane dubine 93 mm, plastificirani ili eloksirani u tonu. Način otvaranja: fiksno. Okov za otvaranje prilagođen sustavu i po preporuci proizvođača sustava uz odobrenje projektanta.
Boja okova po odabiru investitora.                                                                                                                     Ostakljenje “IZO” staklom 6+14+4+14+4=42 mm, međuprostor ispunjen Argonom                                                                                          Prozor se ugrađuje na spoju sa zidom po sistemu RAL montaže. U cijenu su uključeni i svi potrebni rubni opšavi iz aluminijskog plastificiranog lima u RAL-u aluminijskih prozora, te termoizolacija i hidroizolacija na spoju sa zidom. Unutarnja prozorska klupčica iz aluminijskog lima, vanjska tipska aluminijska.
Obračun po komadu.                              Prema shemi, ispunjeno IZO staklom, rastera polja širine 180/140 cm. POZ 8</t>
  </si>
  <si>
    <t>Izrada, dobava i montaža do potpune gotovosti al. prozora u sistemu profila sa termo ispunom: profili s prekinutim toplinskim mostom dubine okvira 85 mm, ispunjeni termo ispunom, s vidljivim krilom sa vanjske strane dubine 93 mm, plastificirani ili eloksirani u tonu. Način otvaranja prema pripadnim shemama ili fiksno. Okov za otvaranje prilagođen sustavu i po preporuci proizvođača sustava uz odobrenje projektanta.
Boja okova po odabiru investitora.                                                                                                                     Ostakljenje “IZO” staklom 6+14+4+14+4=42 mm, međuprostor ispunjen Argonom                                                                                          Prozor se ugrađuje na spoju sa zidom po sistemu RAL montaže. U cijenu su uključeni i svi potrebni rubni opšavi iz aluminijskog plastificiranog lima u RAL-u aluminijskih prozora, te termoizolacija i hidroizolacija na spoju sa zidom. Unutarnja prozorska klupčica iz aluminijskog lima, vanjska tipska aluminijska.
Obračun po komadu.                              Prema shemi, ispunjeno IZO staklom, rastera polja širine 150/140 cm. POZ 10</t>
  </si>
  <si>
    <t>Izrada, dobava i montaža do potpune gotovosti al. prozora u sistemu profila sa termo ispunom: profili s prekinutim toplinskim mostom dubine okvira 85 mm, ispunjeni termo ispunom, s vidljivim krilom sa vanjske strane dubine 93 mm, plastificirani ili eloksirani u tonu. Način otvaranja prema pripadnim shemama ili fiksno. Okov za otvaranje prilagođen sustavu i po preporuci proizvođača sustava uz odobrenje projektanta.
Boja okova po odabiru investitora.                                                                                                                     Ostakljenje “IZO” staklom 6+14+4+14+4=42 mm, međuprostor ispunjen Argonom                                                                                          Prozor se ugrađuje na spoju sa zidom po sistemu RAL montaže. U cijenu su uključeni i svi potrebni rubni opšavi iz aluminijskog plastificiranog lima u RAL-u aluminijskih prozora, te termoizolacija i hidroizolacija na spoju sa zidom. Unutarnja prozorska klupčica iz aluminijskog lima, vanjska tipska aluminijska.
Obračun po komadu.                              Prema shemi, ispunjeno IZO staklom, rastera polja širine 220/120 cm. POZ 11</t>
  </si>
  <si>
    <t>Izrada, dobava i montaža do potpune gotovosti al. prozora u sistemu profila sa termo ispunom: profili s prekinutim toplinskim mostom dubine okvira 85 mm, ispunjeni termo ispunom, s vidljivim krilom sa vanjske strane dubine 93 mm, plastificirani ili eloksirani u tonu. Način otvaranja prema pripadnim shemama ili fiksno. Okov za otvaranje prilagođen sustavu i po preporuci proizvođača sustava uz odobrenje projektanta.
Boja okova po odabiru investitora.                                                                                                                     Ostakljenje “IZO” staklom 6+14+4+14+4=42 mm, međuprostor ispunjen Argonom                                                                                          Prozor se ugrađuje na spoju sa zidom po sistemu RAL montaže. U cijenu su uključeni i svi potrebni rubni opšavi iz aluminijskog plastificiranog lima u RAL-u aluminijskih prozora, te termoizolacija i hidroizolacija na spoju sa zidom. Unutarnja prozorska klupčica iz aluminijskog lima, vanjska tipska aluminijska.
Obračun po komadu.                              Prema shemi, ispunjeno IZO staklom, rastera polja širine 335/120 cm. POZ 12</t>
  </si>
  <si>
    <t>Izrada, dobava i montaža do potpune gotovosti al. prozora u sistemu profila sa termo ispunom: profili s prekinutim toplinskim mostom dubine okvira 85 mm, ispunjeni termo ispunom, s vidljivim krilom sa vanjske strane dubine 93 mm, plastificirani ili eloksirani u tonu. Način otvaranja prema pripadnim shemama ili fiksno. Okov za otvaranje prilagođen sustavu i po preporuci proizvođača sustava uz odobrenje projektanta.
Boja okova po odabiru investitora.                                                                                                                     Ostakljenje “IZO” staklom 6+14+4+14+4=42 mm, međuprostor ispunjen Argonom                                                                                          Prozor se ugrađuje na spoju sa zidom po sistemu RAL montaže. U cijenu su uključeni i svi potrebni rubni opšavi iz aluminijskog plastificiranog lima u RAL-u aluminijskih prozora, te termoizolacija i hidroizolacija na spoju sa zidom. Unutarnja prozorska klupčica iz aluminijskog lima, vanjska tipska aluminijska.
Obračun po komadu.                              Prema shemi, ispunjeno IZO staklom, rastera polja širine 290/60 cm. POZ 13</t>
  </si>
  <si>
    <t>Izrada, dobava i montaža do potpune gotovosti al. prozora u sistemu profila sa termo ispunom: profili s prekinutim toplinskim mostom dubine okvira 85 mm, ispunjeni termo ispunom, s vidljivim krilom sa vanjske strane dubine 93 mm, plastificirani ili eloksirani u tonu. Način otvaranja  prema shemi ili fiksno. Okov za otvaranje prilagođen sustavu i po preporuci proizvođača sustava uz odobrenje projektanta.
Boja okova po odabiru investitora.                                                                                                                     Ostakljenje “IZO” staklom 6+14+4+14+4=42 mm, međuprostor ispunjen Argonom                                                                                          Prozor se ugrađuje na spoju sa zidom po sistemu RAL montaže. U cijenu su uključeni i svi potrebni rubni opšavi iz aluminijskog plastificiranog lima u RAL-u aluminijskih prozora, te termoizolacija i hidroizolacija na spoju sa zidom. Unutarnja prozorska klupčica iz aluminijskog lima, vanjska tipska aluminijska.
Obračun po komadu.                              Prema shemi, ispunjeno IZO staklom, rastera polja širine 180/140 cm. POZ 15</t>
  </si>
  <si>
    <t>13.23.</t>
  </si>
  <si>
    <t>Izrada, dobava i montaža do potpune gotovosti al. vrata: dubine okvira 45 mm, s vidljivim krilom s vanjske strane dubine 93 mm, plastificirani ili eloksirani u tonu. Način otvaranja prema pripadnim shemama. Okov za otvaranje prilagođen sustavu i po preporuci proizvođača sustava uz odobrenje projektanta. 
Boja okova po odabiru investitora.                                                                                                                     Ostakljenje staklom 6+14+4=24 mm, jedno staklo mutno.                                                                                         U cijenu su uključeni i svi potrebni rubni opšavi iz aluminijskog plastificiranog lima u RAL-u aluminijskih prozora. 
Prema shemi, rastera polja širine 80/200 cm. POZ 1</t>
  </si>
  <si>
    <t>Izrada, dobava i montaža do potpune gotovosti al. vrata: dubine okvira 45 mm, s vidljivim krilom s vanjske strane dubine 93 mm, plastificirani ili eloksirani u tonu. Način otvaranja prema pripadnim shemama. Okov za otvaranje prilagođen sustavu i po preporuci proizvođača sustava uz odobrenje projektanta. 
Boja okova po odabiru investitora.                                                                                                                     Ostakljenje staklom 6+14+4=24 mm, jedno staklo mutno.                                                                                         U cijenu su uključeni i svi potrebni rubni opšavi iz aluminijskog plastificiranog lima u RAL-u aluminijskih prozora. 
Prema shemi, rastera polja širine 90/200 cm. POZ 2</t>
  </si>
  <si>
    <t>13.24.</t>
  </si>
  <si>
    <t>Izrada, dobava i montaža do potpune gotovosti al. vrata: dubine okvira 45 mm, s vidljivim krilom s vanjske strane dubine 93 mm, plastificirani ili eloksirani u tonu. Način otvaranja prema pripadnim shemama. Okov za otvaranje prilagođen sustavu i po preporuci proizvođača sustava uz odobrenje projektanta. 
Boja okova po odabiru investitora.                                                                                                                     Ostakljenje staklom 6+14+4=24 mm, jedno staklo mutno.                                                                                         U cijenu su uključeni i svi potrebni rubni opšavi iz aluminijskog plastificiranog lima u RAL-u aluminijskih prozora. 
Prema shemi, rastera polja širine 60/200 cm. POZ 3</t>
  </si>
  <si>
    <t>Izrada, dobava i montaža do potpune gotovosti fiksne staklene stijene sa jednim staklenim vratima bez okova. Način otvaranja prema pripadnim shemama. Ostakljenje staklom 8 mm, lamistal staklo, brušeno. U cijenu su uključeni i svi potrebni materijali za ugradnju. Ponuđač je obavezan obaviti izmjeru na licu mjesta. 
Obračun po m2.                                   Prema shemi, rastera polja širine 3,00*3,20m. POZ 16</t>
  </si>
  <si>
    <t>Izrada, dobava i montaža do potpune gotovosti fiksne staklene stijene. Način otvaranja prema pripadnim shemama. Ostakljenje staklom 8 mm, lamistal staklo, brušeno. U cijenu su uključeni i svi potrebni materijali za ugradnju. Ponuđač je obavezan obaviti izmjeru na licu mjesta. 
Obračun po m2.                                    Prema shemi, rastera polja širine 4,25*3,20m. POZ 17</t>
  </si>
  <si>
    <t>Izrada, dobava i montaža do potpune gotovosti fiksne staklene stijene sa jednim staklenim vratima bez okova. Način otvaranja prema pripadnim shemama. Ostakljenje staklom 8 mm, lamistal staklo, brušeno. U cijenu su uključeni i svi potrebni materijali za ugradnju. Ponuđač je obavezan obaviti izmjeru na licu mjesta. 
Obračun po m2.                                   Prema shemi, rastera polja širine 4,20*3,20m. POZ 18</t>
  </si>
  <si>
    <t>Izrada, dobava i montaža do potpune gotovosti fiksne staklene stijene. Način otvaranja prema pripadnim shemama. Ostakljenje staklom 8 mm, lamistal staklo, brušeno. U cijenu su uključeni i svi potrebni materijali za ugradnju. Ponuđač je obavezan obaviti izmjeru na licu mjesta. 
Obračun po m2.                                  Prema shemi, rastera polja širine 3,40*3,20m. POZ 19</t>
  </si>
  <si>
    <t>9.2.</t>
  </si>
  <si>
    <t xml:space="preserve">Nabava, doprema i ugradnja svog potrebnog materijala, spravljanje vapneno-cementnog morta i zidanje pregradnih zidova glinenom blok opekom d=12 cm. PREGRADNI ZODVI.        
</t>
  </si>
  <si>
    <t>5.9.</t>
  </si>
  <si>
    <t>Nabava, dobava materijala i izrada cementnog estiha u sloju debljine 5,0 cm, u skladištu, kao podloge završnom sloju poda. U cijenu uključen sav potreban materijal, alat i rad.</t>
  </si>
  <si>
    <t>Red.broj.</t>
  </si>
  <si>
    <t>Opis</t>
  </si>
  <si>
    <t>Jed. mjere</t>
  </si>
  <si>
    <t xml:space="preserve">Kol. </t>
  </si>
  <si>
    <t>Jed. cijena (HRK)</t>
  </si>
  <si>
    <t>Ukupna cijena (HRK)</t>
  </si>
  <si>
    <t>I.</t>
  </si>
  <si>
    <t>KOMUNIKACIJSKA OPREMA - nano DATA CENTAR</t>
  </si>
  <si>
    <t>Dobava i montaža  poslužiteljsko-komunikacijskog ormara BD visine 42 U, tlocrtnih dimenzija  širina 800mm x dubina 1200 mm x visina 2000 mm</t>
  </si>
  <si>
    <t>kpl.</t>
  </si>
  <si>
    <t>- izrađen od pocinčanog lima obojanog  u RAL 7035</t>
  </si>
  <si>
    <t>- unutarnja instalacija obojana  u RAL 9005</t>
  </si>
  <si>
    <t>- staklena prednja i metalna stražnja dvokrilna vrata</t>
  </si>
  <si>
    <t>- krovna ploča priređena za ulaz kabela</t>
  </si>
  <si>
    <t xml:space="preserve"> - nosivost vertiklnih 19" šina 1500 kg </t>
  </si>
  <si>
    <t xml:space="preserve"> - TS set za uzemljenje</t>
  </si>
  <si>
    <t>- set vijaka i matica</t>
  </si>
  <si>
    <t>1.1.1</t>
  </si>
  <si>
    <t>1.1.2</t>
  </si>
  <si>
    <t>pak</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</si>
  <si>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</si>
  <si>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</si>
  <si>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</si>
  <si>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</si>
  <si>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</si>
  <si>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</si>
  <si>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</si>
  <si>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</si>
  <si>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</si>
  <si>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</si>
  <si>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</si>
  <si>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</si>
  <si>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</si>
  <si>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</si>
  <si>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</si>
  <si>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</si>
  <si>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</si>
  <si>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</si>
  <si>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</si>
  <si>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</si>
  <si>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</si>
  <si>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</si>
  <si>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</si>
  <si>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</si>
  <si>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</si>
  <si>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</si>
  <si>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</si>
  <si>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</si>
  <si>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</si>
  <si>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</si>
  <si>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</si>
  <si>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</si>
  <si>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LC Adapter (spojnica), za multimode optički kabel</t>
  </si>
  <si>
    <t>1.1.35</t>
  </si>
  <si>
    <t xml:space="preserve">Optički konektor - pigtail LC MM (multimode) 50/125u </t>
  </si>
  <si>
    <t>1.1.36</t>
  </si>
  <si>
    <t xml:space="preserve">Splice kazete za po 12 niti </t>
  </si>
  <si>
    <t>1.1.37</t>
  </si>
  <si>
    <t>Patch panel RJ45, cat 6, STP, 24 porta</t>
  </si>
  <si>
    <t>1.1.38</t>
  </si>
  <si>
    <t>1.1.39</t>
  </si>
  <si>
    <t>1.1.40</t>
  </si>
  <si>
    <t>1.1.41</t>
  </si>
  <si>
    <t>1.1.42</t>
  </si>
  <si>
    <t>1.1.43</t>
  </si>
  <si>
    <t>"patch" kabeli 24 AWG, STP, Cat.6, tvornički predkonfekcioniranih s 2 x RJ-45 konektorima duljine 3m</t>
  </si>
  <si>
    <t>1.1.44</t>
  </si>
  <si>
    <t>1.1.45</t>
  </si>
  <si>
    <t>1.1.46</t>
  </si>
  <si>
    <t>1.1.47</t>
  </si>
  <si>
    <t>1.1.48</t>
  </si>
  <si>
    <t>1.1.49</t>
  </si>
  <si>
    <t>1.1.50</t>
  </si>
  <si>
    <t>1.1.51</t>
  </si>
  <si>
    <t>1.1.52</t>
  </si>
  <si>
    <t>1.1.53</t>
  </si>
  <si>
    <t>1.1.54</t>
  </si>
  <si>
    <t>1.1.55</t>
  </si>
  <si>
    <t>Sitni materijal i pribor</t>
  </si>
  <si>
    <t>UKUPNO I</t>
  </si>
  <si>
    <t>II.</t>
  </si>
  <si>
    <t>BMS INTELIGENTNI SUSTAV UPRAVLJANJA ZGRADOM</t>
  </si>
  <si>
    <t>2.1</t>
  </si>
  <si>
    <t>Dobava, montaža i spajanje opreme u prostoru za sustav upravljanja pumpama, elektromotornim pogonima ventila, ventilokonvektorima, zaklopkama ventilacijskog sustava i el. prozorima (HVAC sustav), koja obuhvaća sljedeću opremu:</t>
  </si>
  <si>
    <t>2.1.1</t>
  </si>
  <si>
    <t>2.1.2</t>
  </si>
  <si>
    <t>2.1.3</t>
  </si>
  <si>
    <t>2.1.4</t>
  </si>
  <si>
    <t>2.1.5</t>
  </si>
  <si>
    <t>2.1.6</t>
  </si>
  <si>
    <t>2.1.7</t>
  </si>
  <si>
    <t>2.1.8</t>
  </si>
  <si>
    <t>2.1.9</t>
  </si>
  <si>
    <t>2.2</t>
  </si>
  <si>
    <t xml:space="preserve">Programiranje i paramametriranje DDC kontrolera i integriranje third party uređaja u BMS sustav. Puštanje kompletne opreme termoenergetskog i HVAC sustava u pogon. Izrada vizualnog web sučelja za pristup BMS sustavu.
</t>
  </si>
  <si>
    <t>Napomene:</t>
  </si>
  <si>
    <t>Troškovničke stavke ne uključuje ventile s elektromotornim pogonima. Očekivana upravljivost s 0-10 V DC.</t>
  </si>
  <si>
    <t>Troškovničke stavke ne uključuje temperaturne senzore. Očekivani izlaz temperaturnih sondi PTC 1-100 kOhm.</t>
  </si>
  <si>
    <t>Troškovničke stavke ne uključuje dizalicu topline koja radi sa svojim autonomnim sustavom. Preporuča se isporuka s BACnet komunikacijom prema BMS sustavu.</t>
  </si>
  <si>
    <t xml:space="preserve">Troškovničke stavke ne uključuje rekuperatorske jedinice, jedinice multisplit sustava i jedinice split sustava, koje rade na autonomnom sustavu. </t>
  </si>
  <si>
    <t>Preporuča se isporuka s BACnet komunikacijom prema BMS sustavu ili isporuka opreme koja pretvara interne komunikacijske protokole jedinica u BACnet ili Modbus protokol.</t>
  </si>
  <si>
    <t>Troškovnik ne uključuje opremu poput odsisnih ventilatora niti sklopnika ili pretvarača za njihovo upravljanje.</t>
  </si>
  <si>
    <t>Kabeli i cijevi se nalaze u poglavlju IV i V.</t>
  </si>
  <si>
    <t>UKUPNO II</t>
  </si>
  <si>
    <t>III.</t>
  </si>
  <si>
    <t>KNX INTELIGENTNI SUSTAV UPRAVLJANJA TROŠILIMA</t>
  </si>
  <si>
    <t>3.1</t>
  </si>
  <si>
    <t>Dobava, ugradnja i spajanje KNX sustava za inteligentno upravljanje za montažu u razvodni ormar:</t>
  </si>
  <si>
    <t>3.1.1</t>
  </si>
  <si>
    <t>3.1.2</t>
  </si>
  <si>
    <t>3.1.3</t>
  </si>
  <si>
    <t>3.1.4</t>
  </si>
  <si>
    <t>3.1.5</t>
  </si>
  <si>
    <t>3.1.6</t>
  </si>
  <si>
    <t>Dobava, ugradnja i spajanje KNX sustava za inteligentno upravljanje:</t>
  </si>
  <si>
    <t>3.2.1</t>
  </si>
  <si>
    <t>3.2.2</t>
  </si>
  <si>
    <t>3.2.3</t>
  </si>
  <si>
    <t>3.2.4</t>
  </si>
  <si>
    <t>3.2.5</t>
  </si>
  <si>
    <t>3.2.6</t>
  </si>
  <si>
    <t>3.2.7</t>
  </si>
  <si>
    <t>3.2.8</t>
  </si>
  <si>
    <t>3.2.9</t>
  </si>
  <si>
    <t>3.2.10</t>
  </si>
  <si>
    <t>3.2.11</t>
  </si>
  <si>
    <t>3.2.12</t>
  </si>
  <si>
    <t>3.2.13</t>
  </si>
  <si>
    <t>3.3</t>
  </si>
  <si>
    <t>Programiranje, parametriranje i puštanje u rad KNX sustava za inteligentno upravljanje:</t>
  </si>
  <si>
    <t>Napomene: Kabeli i cijevi se nalaze u poglavlju IV i V.</t>
  </si>
  <si>
    <t>UKUPNO III</t>
  </si>
  <si>
    <t>IV.</t>
  </si>
  <si>
    <t>SUSTAV ZA NADZOR POTROŠNJE</t>
  </si>
  <si>
    <t xml:space="preserve">Programski paket za nadzor i upravljanje energetskim sustavima koji omogućava sveobuhvatnu analizu i kontrolu kvalitete električne energije i pouzdanosti energetskog sustava. Sadrži skup alata koji omogućuje prikupljanje, obradu, analizu, pohranu i razmjenjivanje podataka na standardnoj klijent/server arhitekturi. Fleksibilan i lako nadogradiv sustav koji pruža mogućnost dodavanja novih komponenata bez prekidanja ili narušavanja postojećih funkcija. Omogućuje prikupljanje podataka preko serijske, bežične, modemske ili Ethernet veze za upravljanje samo jednom lokacijom ili koristeći Internet i Intranet omogućuje upravljanje cijelom mrežom distribuiranih uređaja. </t>
  </si>
  <si>
    <t>Dobava, montaža i spajanje Modbus-ethernet pretvornika s integriranim Web serverom:</t>
  </si>
  <si>
    <r>
      <t>Ethernet pretvornik koji povezuje ethernet mrežu s podržanim uređajima. Podržani uređaji obuhvaćaju uređaje koji su spojeni na serijski port i uređaje na Ethernet mreži, kao i preko drugih Ethernet pristupnika ili uređaja s ugrađenim Modbus TCP/IP protokolom. Ethernet pretvornik sadrži dva 10/100 Mbit RJ45 porta i 256 MB flash memorije i 4 GB SDRAM memorije. Također sadrži integriran web server koji osigurava prostor za pohranu standardnih i prilagođenih web stranica za prikaz podataka u stvarnom vremenu kao i prilagodljivo sučelje. Na web serveru očitani podaci pohranjeni 152 i više dana. Podaci se pohranjuju prema pravilu First In First Out. Interval očitanja podešava se u koracima 5, 15, 30 ili 60 minuta. Podaci se prezentiraju u obliku grafikona koristeći web preglednik. Podaci se mogu prenijeti u Microsoft Excel ili na bilo koje računalo za pohranu pomoću FTP (</t>
    </r>
    <r>
      <rPr>
        <i/>
        <sz val="9"/>
        <rFont val="Arial"/>
        <family val="2"/>
        <charset val="238"/>
      </rPr>
      <t>File Transport Protocol</t>
    </r>
    <r>
      <rPr>
        <sz val="9"/>
        <rFont val="Arial"/>
        <family val="2"/>
        <charset val="238"/>
      </rPr>
      <t>), ili elektroničke pošte (</t>
    </r>
    <r>
      <rPr>
        <i/>
        <sz val="9"/>
        <rFont val="Arial"/>
        <family val="2"/>
        <charset val="238"/>
      </rPr>
      <t>e-mail</t>
    </r>
    <r>
      <rPr>
        <sz val="9"/>
        <rFont val="Arial"/>
        <family val="2"/>
        <charset val="238"/>
      </rPr>
      <t>).
Ethernet pretvornik osigurava: ModbusTCP/IP filtriranje, podrška za višestruke korisničke račune s lozinkom prilikom prijave. Standardni web preglednik se koristi za konfiguraciju pristupnika uključujući uporabu standardnih dinamičkih web stranica za prikazivanje podataka u stvarnom vremenu i grafikone povijesnih podataka. Ethernet pretvornik omogućava pokretanja e-mail ili FTP prijenosa datoteka, koji se temelje na korisnički definiranom rasporedu za slanje podataka na udaljenim računalima u CSV (zarezom odvojene varijable) formatu.</t>
    </r>
  </si>
  <si>
    <t>Parametriranje periferne mjerne opreme za mjerenja električne energije na srednjem i niskom naponu</t>
  </si>
  <si>
    <t>UKUPNO IV</t>
  </si>
  <si>
    <t xml:space="preserve">REKAPITULACIJA </t>
  </si>
  <si>
    <t>No.</t>
  </si>
  <si>
    <t>I</t>
  </si>
  <si>
    <t>II</t>
  </si>
  <si>
    <t>III</t>
  </si>
  <si>
    <t>IV</t>
  </si>
  <si>
    <t>SVEUKUPNO</t>
  </si>
  <si>
    <t>1.</t>
  </si>
  <si>
    <t>Građevinsko - obrtnički radovi</t>
  </si>
  <si>
    <t>2.</t>
  </si>
  <si>
    <t>Vodovod i kanalizacija</t>
  </si>
  <si>
    <t>3.</t>
  </si>
  <si>
    <t>Niskogradnja</t>
  </si>
  <si>
    <t>4.</t>
  </si>
  <si>
    <t>Strojarski radovi - Grijanje, hlađenje, ventilacija</t>
  </si>
  <si>
    <t>5.</t>
  </si>
  <si>
    <t>Elektro instalaterski radovi</t>
  </si>
  <si>
    <t>6.</t>
  </si>
  <si>
    <t>IT oprema i sustavi</t>
  </si>
  <si>
    <t>7.</t>
  </si>
  <si>
    <t>Lift</t>
  </si>
  <si>
    <t>SVEUKUPNO:</t>
  </si>
  <si>
    <t>NAPAJANJE EL. ENERGIJOM, EE RAZVOD, DTK I VANJSKA RASVJETA</t>
  </si>
  <si>
    <t>Građevinski radovi i kabelski razvod</t>
  </si>
  <si>
    <t>Geodetski radovi: Iskolčenje trase kabela, postavljanje i održavanje oznaka od početka radova do predaje svih radova investitoru, sva mjerenja u vezi prijenosa podataka iz projekta na teren i obrnuto, te izrada snimke izvedenog stanja vodova (3 primjerka) ovjerenu od strane mjerodavnog katastra.  Obračun po m¹ iskolčene trase.</t>
  </si>
  <si>
    <t>m</t>
  </si>
  <si>
    <t>Probni iskopi: ručni iskop rova, dubine 1.2 m, širine 0.4 m i dužine 5m, u zemljanom tlu u materijalu kategorije "C". U jediničnu cijenu uračunati su svi radovi na iskopu materijala, vertikalni prijenosi, utovari u prijevozna sredstva, radovi na uređenju i čišćenju pokosa, planiranje iskopanih i susjednih površina te zatrpavanje. Obračun po m³ stvarno izvedenog iskopa u sraslom stanju.</t>
  </si>
  <si>
    <t>Iskop rova za instalacije (kabel i traka za uzemljenje): Strojni iskop zemlje, a prema potrebi i ručni, dubine 0,8 m, širine 0,4 m u zemljanom tlu u materijalu kategorije "C".  Izvodi se u zbijenom nasipu uz svu potrebnu zaštitu stabilnosti iskopa (razupiranje, odvodnja, zbijanje).  U jediničnu cijenu uračunati su svi radovi na iskopu materijala, vertikalni prijenosi, utovari u prijevozna sredstva, radovi na uređenju i čišćenju pokosa, planiranje iskopanih i susjednih površina.  Obračun po m³ stvarno izvedenog iskopa u sraslom stanju.</t>
  </si>
  <si>
    <t>Iskop rova za instalacije (kabel i traka za uzemljenje): Strojni iskop zemlje, a prema potrebi i ručni, dubine 1,2 m, širine 0,4 m u zemljanom tlu u materijalu kategorije "C".  Izvodi se u zbijenom nasipu uz svu potrebnu zaštitu stabilnosti iskopa (razupiranje, odvodnja, zbijanje).  U jediničnu cijenu uračunati su svi radovi na iskopu materijala, vertikalni prijenosi, utovari u prijevozna sredstva, radovi na uređenju i čišćenju pokosa, planiranje iskopanih i susjednih površina.  Obračun po m³ stvarno izvedenog iskopa u sraslom stanju.</t>
  </si>
  <si>
    <t>Podložni sloj i obloga od pijeska: Obuhvaća pripremu podloge, dobavu materijala, utovar, prijevoz, istovar, razastiranje, zbijanje, taj. sav rad na izradi i ugradnji sloja i obloge. Obračun po m³ stvarno izvedene količine.</t>
  </si>
  <si>
    <t>Iskop građevinske jame za ugradnju kabelskog zdenca (obračun iskopa mjeri se po komadu jame):</t>
  </si>
  <si>
    <t>Iskop jame (za ugradnju kabelskog zdenca MZ D0) dimenzija 63 x  63 x 86  cm (1 m3) u zemljištu C kategorije.</t>
  </si>
  <si>
    <t xml:space="preserve">Izradu posteljice za postavu kabelskog zdenca od nabijenog pijeska debljine 10 cm (0,1 m3). </t>
  </si>
  <si>
    <t>Zasipavanje postavljenog kabelskog zdenca materijalom iz otkopa.</t>
  </si>
  <si>
    <t>Odvoz viška iskopanog materijala na deponiju.</t>
  </si>
  <si>
    <t>iskop jame ukupno:</t>
  </si>
  <si>
    <r>
      <t xml:space="preserve">Dobava na gradilište tipskog montažnog zdenca </t>
    </r>
    <r>
      <rPr>
        <b/>
        <sz val="10"/>
        <rFont val="Arial"/>
        <family val="2"/>
        <charset val="238"/>
      </rPr>
      <t>KZ DO</t>
    </r>
    <r>
      <rPr>
        <sz val="10"/>
        <rFont val="Arial"/>
        <family val="2"/>
        <charset val="238"/>
      </rPr>
      <t xml:space="preserve">, vanjskih dimenzija cca  63 x 63 x 89 cm te ugradnja na pripremljenu podlogu od pijeska prema mjerama i uvjetima iz projekta, za opterećenje do 125 kN. </t>
    </r>
  </si>
  <si>
    <t xml:space="preserve">Dobava i ugradnja materijala za izradu temelja rasvjetnog stupa što uključuje:  </t>
  </si>
  <si>
    <t>planiranje dna prethodno iskopane jame te razastiranje tamponskog sloja šljunka d=10cm (0.07m3);</t>
  </si>
  <si>
    <t>uvlačenje dvije savitljive PEHD cijevi Ф50 mm duljine 1.5 m u temelj;</t>
  </si>
  <si>
    <r>
      <t>betoniranje temelja betonom marke betona C25(30) cca 0.64m</t>
    </r>
    <r>
      <rPr>
        <vertAlign val="superscript"/>
        <sz val="10"/>
        <rFont val="Arial"/>
        <family val="2"/>
        <charset val="238"/>
      </rPr>
      <t>3</t>
    </r>
    <r>
      <rPr>
        <sz val="10"/>
        <rFont val="Arial"/>
        <family val="2"/>
        <charset val="238"/>
      </rPr>
      <t>, uz centriranje čeličnih sidrenih vijaka šablonom;</t>
    </r>
  </si>
  <si>
    <t>dobava i montaža armature B-500 (mreža Q-335) u gornjem dijelu temelja</t>
  </si>
  <si>
    <t>formiranje kape temelja uporabom oplate s izvođenjem skošenja od sredine prema rubu radi otjecanja oborinske vode;</t>
  </si>
  <si>
    <t>te sve ostalo potrebno za kompletno dovršenje rada (u stavku uključiti potrebnu drvenu oplatu koja se postavlja u slučaju potrebe).</t>
  </si>
  <si>
    <t>Obračun po komadu ugrađenog stupa.</t>
  </si>
  <si>
    <t>Stup treba isporučiti s pripadajućim temeljnim vijcima i svim elementima što uključuje:</t>
  </si>
  <si>
    <t>podizanje stupa  i nasađivanje temeljne stope stupa na sidrene vijke temelja, kom 1</t>
  </si>
  <si>
    <t xml:space="preserve">centriranje stupa u vertikalni položaj podmetanjem čeličnih pločica odgovarajuće debljine između kape temelja i temeljne stope stupa i pritezanje matica sidrenih vijaka, kom 1 </t>
  </si>
  <si>
    <t>premazivanje temeljne stope stupa, vrhova sidrenih vijaka i matica, epoksidnim premazom.</t>
  </si>
  <si>
    <t>Obračun po komadu stupa.</t>
  </si>
  <si>
    <t>Dobava i ugradnja stupnog razdjelnika. Razdjelnik treba biti opremljena sa priključnim stezaljkama do dva energetska kabela rasvjete 4x16mm2, dva osigurača DO1 od 10A i 6A na jednoj DIN-šini te pričuvnim stezaljkama za priključak signalnog voda na drugoj DIN-šini. Stavka obuhvaća i spajanje svih kabela na stupnu razdjelnicu. Komplet sa spojnim i montažnim priborom.</t>
  </si>
  <si>
    <t xml:space="preserve">Zaštitne cijevi za NN kabele: Dobava i polaganje u već iskopani rov, plastičnih cijevi. Podrazumijeva dobavu i dopremu cijevi i spojnog materijala, sve potrebne prijevoze i prijenose, polaganje u rov i podnu ploču prilikom betoniranja, spajanje te sve ostalo potrebno za kompletno dovršenje rada.  Obračun po m ugrađene cijevi.  </t>
  </si>
  <si>
    <t>1.1.11.1</t>
  </si>
  <si>
    <t>PEHD 110mm</t>
  </si>
  <si>
    <t>1.1.11.2</t>
  </si>
  <si>
    <t>PEHD 50mm</t>
  </si>
  <si>
    <t>1.1.11.3</t>
  </si>
  <si>
    <t>PEHD 32mm</t>
  </si>
  <si>
    <t>Dobava i polaganje plastične trake za upozorenje s natpisom "POZOR - ELEKTROENERGETSKI KABEL 0,4kV"</t>
  </si>
  <si>
    <t>Dobava i polaganje plastične trake za upozorenje s natpisom "POZOR - TELEKOMUNIKACIJSKI KABEL"</t>
  </si>
  <si>
    <t>Dobava i polaganje PVC štitnika (1000x100x2mm; GAL štitnik) za obliježavanje i zaštitu podzemnih instalacija u crvenoj boji. Obuhvaća nabavu, prijevoz i polaganje štitnika u kabelski rov.</t>
  </si>
  <si>
    <t>Zatrpavanje materijalom od iskopa:
Obuhvaća prijevoz, nasipavanje, razastiranje i zbijanje materijala.  Obračun po m³ stvarno izvedene količine u zbijenom stanju.</t>
  </si>
  <si>
    <t>Prijevoz viška zemlje na najbliži deponij. U rad su uključeni vertikalni prijenosi, utovari i istovari u prijevozna sredstva te privremena odlaganja. Obračun po m³ stvarno izvedene količine preostalog materijala.</t>
  </si>
  <si>
    <t>Dobava i polaganje kabela u već iskopani rov s provlačenjem kroz prethodno položene cijevi te spajanje kabela uglavnom razvodnom ormaru RO i u SKPMO (nakon polaganja obračunati stvarno utrošene količine):</t>
  </si>
  <si>
    <t>1.1.17.1</t>
  </si>
  <si>
    <r>
      <rPr>
        <b/>
        <sz val="9"/>
        <rFont val="Arial"/>
        <family val="2"/>
        <charset val="238"/>
      </rPr>
      <t>SKPMO-RO</t>
    </r>
    <r>
      <rPr>
        <sz val="9"/>
        <rFont val="Arial"/>
        <family val="2"/>
        <charset val="238"/>
      </rPr>
      <t xml:space="preserve"> --&gt; NAYY-O 4x150 mm² + NAYY-J 1x70mm²</t>
    </r>
  </si>
  <si>
    <t>1.1.17.2</t>
  </si>
  <si>
    <r>
      <rPr>
        <b/>
        <sz val="9"/>
        <rFont val="Arial"/>
        <family val="2"/>
        <charset val="238"/>
      </rPr>
      <t xml:space="preserve">RO - S2 - S1 </t>
    </r>
    <r>
      <rPr>
        <sz val="9"/>
        <rFont val="Arial"/>
        <family val="2"/>
        <charset val="238"/>
      </rPr>
      <t xml:space="preserve">--&gt; NYY-J 5x6mm2 </t>
    </r>
  </si>
  <si>
    <t>1.1.17.3</t>
  </si>
  <si>
    <r>
      <t>kolna vrata - RO - slušalica portafona--&gt;</t>
    </r>
    <r>
      <rPr>
        <sz val="9"/>
        <rFont val="Arial"/>
        <family val="2"/>
        <charset val="238"/>
      </rPr>
      <t>NYY -OZ 7x1.5mm2</t>
    </r>
  </si>
  <si>
    <t>1.1.17.4</t>
  </si>
  <si>
    <r>
      <t>KZ1-KZ2-KZ3-ENI-BD</t>
    </r>
    <r>
      <rPr>
        <sz val="9"/>
        <rFont val="Arial"/>
        <family val="2"/>
        <charset val="238"/>
      </rPr>
      <t>-&gt;svjetlovod A-DQ(ZN)-2Y 6x4 E9/125 singlemode</t>
    </r>
  </si>
  <si>
    <t>1.1.17.5</t>
  </si>
  <si>
    <r>
      <rPr>
        <b/>
        <sz val="9"/>
        <rFont val="Arial"/>
        <family val="2"/>
        <charset val="238"/>
      </rPr>
      <t>KZ1-KZ2-KZ3-ENI-BD</t>
    </r>
    <r>
      <rPr>
        <sz val="9"/>
        <rFont val="Arial"/>
        <family val="2"/>
        <charset val="238"/>
      </rPr>
      <t>--&gt;TCxDSL HFFR 10x2x0,4</t>
    </r>
  </si>
  <si>
    <t>Preuzimanje od HEP-a SPMO, kombi trofaznog brojila za izravno mjerenje ili poluizravno, 3f limitatora sa svim potrebnim materijalom i priborom za potpuno funkcioniranje te ugradnja u SPMO prema elektroenergetskoj suglasnosti, ugradnja na predviđeno mjesto u SKPMO te spajanje priključnih vodova</t>
  </si>
  <si>
    <t>Nespecificirani sitni montažni i instalacijski materijal</t>
  </si>
  <si>
    <t>BRTVENI ELEMENTI</t>
  </si>
  <si>
    <t>Dobava i ugradnja protupožarne pjene za brtvljenje prolaza kabelske police između požarnih sektora, klase vatrootpornosti EI90, u kartuši od 380ml</t>
  </si>
  <si>
    <t>Dobava i ugradnja protupožarnog kita za brtvljenje prolaza pojedinačnih kabela ili instalacijskih cijevi između požarnih sektora, klase vatrootpornosti EI90, u kartuši od 310ml</t>
  </si>
  <si>
    <t>Dobava i ugradnja natpisne pločice za označavanje prolaza instalacije između požarnih sektora</t>
  </si>
  <si>
    <t>Sitni montažni i instalacijski materijal</t>
  </si>
  <si>
    <t>NN ORMAR RO I SEKUNDARNI NN RASPLET</t>
  </si>
  <si>
    <t>3.1.7</t>
  </si>
  <si>
    <t>3.1.8</t>
  </si>
  <si>
    <t>3.1.9</t>
  </si>
  <si>
    <t>3.1.10</t>
  </si>
  <si>
    <t>3.1.11</t>
  </si>
  <si>
    <t>3.1.12</t>
  </si>
  <si>
    <t>3.1.13</t>
  </si>
  <si>
    <t>3.1.14</t>
  </si>
  <si>
    <t>3.1.15</t>
  </si>
  <si>
    <t>3.1.16</t>
  </si>
  <si>
    <t>3.1.17</t>
  </si>
  <si>
    <t>3.1.18</t>
  </si>
  <si>
    <t>3.1.19</t>
  </si>
  <si>
    <t>3.1.20</t>
  </si>
  <si>
    <t>3.1.21</t>
  </si>
  <si>
    <t>3.1.22</t>
  </si>
  <si>
    <t>KABELSKI KANALI, KABELSKE POLICE I CIJEVI</t>
  </si>
  <si>
    <t>4.1</t>
  </si>
  <si>
    <t>Dobava i polaganje kabelskih polica na stropni/zdini nosač za instalaciju utičnica, rasvjete, tehnoloških trošila, komplet sa svim spojnim materijalom, kutevima, T-elementima, nosačima kanala.</t>
  </si>
  <si>
    <t>JAKA struja</t>
  </si>
  <si>
    <t>4.1.1</t>
  </si>
  <si>
    <t xml:space="preserve">kabelski kanal RKSM, s Magic spojnicom, 60x100x3050, čelik, pocinčano, </t>
  </si>
  <si>
    <t>4.1.2</t>
  </si>
  <si>
    <t xml:space="preserve">kabelski kanal RKSM, s Magic spojnicom, 60x200x3050, čelik, pocinčano, </t>
  </si>
  <si>
    <t>4.1.3</t>
  </si>
  <si>
    <t xml:space="preserve">kabelski kanal RKSM, s Magic spojnicom, 60x300x3050, čelik, pocinčano, </t>
  </si>
  <si>
    <t>4.1.4</t>
  </si>
  <si>
    <t xml:space="preserve">kabelski kanal RKSM, s Magic spojnicom, 60x400x3050, čelik, pocinčano, </t>
  </si>
  <si>
    <t>4.1.5</t>
  </si>
  <si>
    <t xml:space="preserve">T-dogradni element, s integriranim spojnicama, 60x100, čelik, pocinčano, </t>
  </si>
  <si>
    <t>4.1.6</t>
  </si>
  <si>
    <t xml:space="preserve">T- element, s integriranim spojnicama, 60x200, čelik, pocinčano, </t>
  </si>
  <si>
    <t>4.1.7</t>
  </si>
  <si>
    <t xml:space="preserve">T- element, s integriranim spojnicama, 60x400, čelik, pocinčano, </t>
  </si>
  <si>
    <t>4.1.8</t>
  </si>
  <si>
    <t xml:space="preserve">ravna spojnica, za kabl. kanal, pregradu, 60x100, čelik, pocinčano, </t>
  </si>
  <si>
    <t>4.1.9</t>
  </si>
  <si>
    <t xml:space="preserve">zidna i stropna konzola, s vijkom M10 x 25, B410mm, čelik, pocinčano, </t>
  </si>
  <si>
    <t>4.1.10</t>
  </si>
  <si>
    <t xml:space="preserve">zidna i stropna konzola, s vijkom M10 x 25, B310mm, čelik, pocinčano, </t>
  </si>
  <si>
    <t>4.1.11</t>
  </si>
  <si>
    <t xml:space="preserve">zidna i stropna konzola, s vijkom M10 x 25, B210mm, čelik, pocinčano, </t>
  </si>
  <si>
    <t>4.1.12</t>
  </si>
  <si>
    <t xml:space="preserve">zidna i stropna konzola, s vijkom M10 x 25, B110mm, čelik, pocinčano, </t>
  </si>
  <si>
    <t>4.1.13</t>
  </si>
  <si>
    <t xml:space="preserve">stropni nosač, sa zavarenom stopom, 50x30x300, čelik, vruće pocinčano, </t>
  </si>
  <si>
    <t>SLABA struja</t>
  </si>
  <si>
    <t>4.1.14</t>
  </si>
  <si>
    <t>4.1.15</t>
  </si>
  <si>
    <t>4.1.16</t>
  </si>
  <si>
    <t xml:space="preserve">kut 90°, s integriranim spojnicama, 60x100, čelik, pocinčano, </t>
  </si>
  <si>
    <t>4.1.17</t>
  </si>
  <si>
    <t xml:space="preserve">kut 90°, s integriranim spojnicama, 60x200, čelik, pocinčano, </t>
  </si>
  <si>
    <t>4.1.18</t>
  </si>
  <si>
    <t>4.1.19</t>
  </si>
  <si>
    <t>4.1.20</t>
  </si>
  <si>
    <t>4.1.21</t>
  </si>
  <si>
    <t>4.1.22</t>
  </si>
  <si>
    <t>Dobava i postavljanje iznad spuštenog stropa, zid od opeke, zid od gips kartonskih ploča, u beton,  plastičnih samogasivih instalacijskih cijevi sa potrebnim obujmicama:</t>
  </si>
  <si>
    <t>4.2.1</t>
  </si>
  <si>
    <t>CSS16</t>
  </si>
  <si>
    <t>4.2.2</t>
  </si>
  <si>
    <t>CSS20</t>
  </si>
  <si>
    <t>4.2.3</t>
  </si>
  <si>
    <t>CSS32</t>
  </si>
  <si>
    <t>4.2.4</t>
  </si>
  <si>
    <t>CSS40</t>
  </si>
  <si>
    <t>4.2.5</t>
  </si>
  <si>
    <t>CSS50</t>
  </si>
  <si>
    <t>V.</t>
  </si>
  <si>
    <t>ELEKTRIČNA INSTALACIJA JAKE STRUJE (rasvjeta, utičnice i druga električna oprema)</t>
  </si>
  <si>
    <t>Dobava, montaža i spajanje rasvjete, komplet s pripadnim izvorima svjetlosti  te montažnim i spojnim priborom. Svjetiljke moraju zadovoljavati iste ili bolje slijedeće tehničke karakteristike:</t>
  </si>
  <si>
    <t>5.1.1</t>
  </si>
  <si>
    <t>5.1.2</t>
  </si>
  <si>
    <t>5.1.3</t>
  </si>
  <si>
    <t>5.1.4</t>
  </si>
  <si>
    <t>5.1.5</t>
  </si>
  <si>
    <t>5.1.6</t>
  </si>
  <si>
    <t>5.1.7</t>
  </si>
  <si>
    <t>Svjetiljka sigurnosne rasvjete ugradna, izvor LED 3W, 230lm, uskosnopna asimetrična optika za evakucijske puteve, polikarbonatno kućište bijele boje, zaštita IP20, dimenzije vidljivog dijela 95x95mm, ugradna dubina 48mm. Svjetiljka ima 1h autonomiju a baterija je maintained/non-maintained, oznaka na crtežu - P1</t>
  </si>
  <si>
    <t>5.1.8</t>
  </si>
  <si>
    <t>Svjetiljka sigurnosne rasvjete nadgradna, izvor LED 3,6W, 257lm, simetrična optika, polikarbonatno kućište s prozirnim difuzorom, zaštita IP65. Svjetiljka ima 1h autonomiju a baterija je maintained/non-maintained, oznaka na crtežu - P2</t>
  </si>
  <si>
    <t>5.1.9</t>
  </si>
  <si>
    <t>Svjetiljka sigurnosne rasvjete ugradna s piktogramskom pločom dimenzija 150x300mm i pripadnom naljepnicom, izvor LED 1,2W, aluminijsko kućište sive boje, zaštita IP20. Svjetiljka ima 1h autonomiju a baterija je maintained/non-maintained, smjer kretanja ravno, oznaka na crtežu - P3</t>
  </si>
  <si>
    <t>5.1.10</t>
  </si>
  <si>
    <t>Svjetiljka sigurnosne rasvjete nadgradna zidna/stropna s piktogramskom pločom dimenzija 150x300mm i pripadnom naljepnicom, izvor LED 1,2W, aluminijsko kućište sive boje, zaštita IP41. Svjetiljka ima 1h autonomiju a baterija je maintained/non-maintained, smjer kretanja desno ili lijevo oznaka na crtežu - P4</t>
  </si>
  <si>
    <t>5.1.11</t>
  </si>
  <si>
    <t>Svjetiljka sigurnosne rasvjete nadgradna stropna s piktogramskom pločom dimenzija 150x300mm i pripadnom naljepnicom, izvor LED 1,2W, polikarbonatno kućište bijele boje, zaštita IP65. Svjetiljka ima 1h autonomiju a baterija je maintained/non-maintained, smjer kretanja ravno, oznaka na crtežu - P5</t>
  </si>
  <si>
    <t>5.1.12</t>
  </si>
  <si>
    <t xml:space="preserve">Nadgradna svjetiljka, kućište izrađeno od silumina, IP44, stakleni difuzor kao tip: Svjetiljka brodska 100W, za montažu u okno dizala. </t>
  </si>
  <si>
    <t>Dobava, montaža i spajanje p/ž i n/ž utičnica u zid od opeke, gips kartonske ploče ili panel kompletno sa podžbuknom/nadžbuknom kutijom, nosim okvirom i dekorativnim okvirom prema želji Investitora:</t>
  </si>
  <si>
    <t>5.2.1</t>
  </si>
  <si>
    <t>5.2.2</t>
  </si>
  <si>
    <t>5.2.3</t>
  </si>
  <si>
    <t>5.2.4</t>
  </si>
  <si>
    <t>5.2.5</t>
  </si>
  <si>
    <t>5.2.6</t>
  </si>
  <si>
    <t>5.2.7</t>
  </si>
  <si>
    <t>5.2.8</t>
  </si>
  <si>
    <t>5.3</t>
  </si>
  <si>
    <t>5.4</t>
  </si>
  <si>
    <t>Dobava, montaža i spajanje poteznog prekidača u WC-u za invalide sa tipkalom NC zakretno za reset SOS poziva unutar WC-a i el. zvonom sa transformatorom 230V/8V (za SOS poziv, zvučna dojava)</t>
  </si>
  <si>
    <t>5.5</t>
  </si>
  <si>
    <t>5.6</t>
  </si>
  <si>
    <t>5.7</t>
  </si>
  <si>
    <t>5.8</t>
  </si>
  <si>
    <t>Spajanje el. opreme u koju isporučuju i ugrađuju drugi izvođači - (ventilacija, grijanje, hlađenje, zaklopke  i dr.);  uklemati, ne puštati u pogon</t>
  </si>
  <si>
    <t>5.9</t>
  </si>
  <si>
    <t>Dobava i polaganje kabela u zaštitne instalacijske cijevi i kabelske police sa izradom kabelskih završetaka i spajanjem:</t>
  </si>
  <si>
    <t>5.9.1</t>
  </si>
  <si>
    <t>NYY-J 3x1.5mm2</t>
  </si>
  <si>
    <t>5.9.2</t>
  </si>
  <si>
    <t>NYY-J 3x2.5mm2</t>
  </si>
  <si>
    <t>5.9.3</t>
  </si>
  <si>
    <t>NYY-J 3x4mm2</t>
  </si>
  <si>
    <t>5.9.4</t>
  </si>
  <si>
    <t>NYY-J 5x1.5mm2</t>
  </si>
  <si>
    <t>5.9.5</t>
  </si>
  <si>
    <t>NYY-J 5x2.5mm2</t>
  </si>
  <si>
    <t>5.9.6</t>
  </si>
  <si>
    <t>NYY-J 5x6mm2</t>
  </si>
  <si>
    <t>5.9.7</t>
  </si>
  <si>
    <t>NYY-J 5x10mm2</t>
  </si>
  <si>
    <t>5.9.8</t>
  </si>
  <si>
    <t>FG70R 5x10mm2</t>
  </si>
  <si>
    <t>5.9.9</t>
  </si>
  <si>
    <t>FG70R 5x16mm2</t>
  </si>
  <si>
    <t>5.9.10</t>
  </si>
  <si>
    <t>NYY-J 5x16mm2</t>
  </si>
  <si>
    <t>5.9.11</t>
  </si>
  <si>
    <t>NHXH-J E90 3x1.5mm2</t>
  </si>
  <si>
    <t>5.9.12</t>
  </si>
  <si>
    <t>J-Y(St)Y 2x2x0,8 EIB Bus, zeleni</t>
  </si>
  <si>
    <t>5.9.13</t>
  </si>
  <si>
    <t>H07V-K 16mm2 ž/z</t>
  </si>
  <si>
    <t>5.9.14</t>
  </si>
  <si>
    <t>H07V-K 6mm2 ž/z</t>
  </si>
  <si>
    <t>5.10</t>
  </si>
  <si>
    <t>Dobava, postavljanje i povezivanje metalnih masa vijčanim spojem sa nazubljenom podloškom kabel, vijcima, maticama, kabelskim stopicama kabelom/trakom.</t>
  </si>
  <si>
    <t>5.11</t>
  </si>
  <si>
    <t>Dobava, montaža  i spajanje p/ž razvodne kutije dim. 100x100mm.</t>
  </si>
  <si>
    <t>5.12</t>
  </si>
  <si>
    <t>Dobava, montaža  i spajanje p/ž razvodne kutije fi 120mm.</t>
  </si>
  <si>
    <t>5.13</t>
  </si>
  <si>
    <t>UKUPNO V</t>
  </si>
  <si>
    <t>VI.</t>
  </si>
  <si>
    <t>SUČELJE VANJSKE PRISTUPNE MREŽE I UNUTARNJA EKM INSTALACIJA</t>
  </si>
  <si>
    <t>6.1.1</t>
  </si>
  <si>
    <t>plastična kanalica za vođenje kabela dim 60x40</t>
  </si>
  <si>
    <t>6.1.2</t>
  </si>
  <si>
    <t>Krone regleda sa adapterima za montažu na din šinu</t>
  </si>
  <si>
    <t>6.1.3</t>
  </si>
  <si>
    <t>Plinski odvodnici prenapona za krone regletu</t>
  </si>
  <si>
    <t>6.1.4</t>
  </si>
  <si>
    <t>patch prespojni kabel 1 m STP Cat 6</t>
  </si>
  <si>
    <t>6.1.5</t>
  </si>
  <si>
    <t>prespojni telefonski kabel 1 m</t>
  </si>
  <si>
    <t>6.1.6</t>
  </si>
  <si>
    <t>uključivo sav ostali sitni spojni i montažni pribor, te set za uzemljenje ormara</t>
  </si>
  <si>
    <t>6.1.7</t>
  </si>
  <si>
    <t>sitni montažni i instalacijski materijal</t>
  </si>
  <si>
    <t>Dobava, ugradnja u zid od opeke, gipsane ploče, spušteni strop, pod  te spajanje plastičnih samogasivih instalacijskih cijevi (nakon montaže obračunati stvarno utrošene količine):</t>
  </si>
  <si>
    <t>6.2.1</t>
  </si>
  <si>
    <t>Φ25</t>
  </si>
  <si>
    <t>6.2.2</t>
  </si>
  <si>
    <t>Φ32</t>
  </si>
  <si>
    <t>6.2.3</t>
  </si>
  <si>
    <t>Φ50</t>
  </si>
  <si>
    <t>6.3.</t>
  </si>
  <si>
    <t>Dobava, postavljanje i spajanje EKM kabela u već postavljene kabelske police, kanale te dijelom u cijevi (nakon polaganja obračunati stvarno utrošene količine):</t>
  </si>
  <si>
    <t>6.3.1</t>
  </si>
  <si>
    <t>6.3.2</t>
  </si>
  <si>
    <t>UKUPNO VI</t>
  </si>
  <si>
    <t>XII.</t>
  </si>
  <si>
    <t>SUSTAV VIDEONADZORA</t>
  </si>
  <si>
    <t xml:space="preserve">Izrada sustava videonadzora komplet sa dobavom, ugradnjom, montažom, testiranjem i parametriranjem do potpune funkcionalnosti uključujući  završna ispitivanja i mjerenja, sljedeće instalacije i opreme: </t>
  </si>
  <si>
    <t>7.1.1</t>
  </si>
  <si>
    <t xml:space="preserve">8 kanalni,1TB, H.264 DVR,NTSC/PAL, 400fps CIF, 200fps 2CIF, 100fps 4CIF, Internet, bi-directional audio </t>
  </si>
  <si>
    <t>kom.</t>
  </si>
  <si>
    <t>7.1.2</t>
  </si>
  <si>
    <t>Mini dome kamera D/N, UltraView</t>
  </si>
  <si>
    <t>540 TVL, 2,0 Lux-a,  variofocal 2,8-10mm, 12 V DC</t>
  </si>
  <si>
    <t>7.1.3</t>
  </si>
  <si>
    <t>Bullet kamera u boji sa IR osvjetljenjem</t>
  </si>
  <si>
    <t>600 TVL, dan/noć, 3,3-12 mm variofocal leća, 25m,  IP67, sa nosačem</t>
  </si>
  <si>
    <t>7.1.4</t>
  </si>
  <si>
    <t>Adapter napajanja za kamere</t>
  </si>
  <si>
    <t>switched mode, 12 V DC / 1 A</t>
  </si>
  <si>
    <t>7.1.5</t>
  </si>
  <si>
    <t>LCD monitor 21"</t>
  </si>
  <si>
    <t xml:space="preserve">Wide 16:9 FHD, 1920x1080@60Hz </t>
  </si>
  <si>
    <t>7.1.6</t>
  </si>
  <si>
    <t>Video kabel</t>
  </si>
  <si>
    <t>koaksijalni, 75 ohm-a</t>
  </si>
  <si>
    <t>tip : RG 59 B/U</t>
  </si>
  <si>
    <t>7.1.7</t>
  </si>
  <si>
    <t>Energetski kabel</t>
  </si>
  <si>
    <t>3x0,75 mm</t>
  </si>
  <si>
    <t>tip : PP/L3x0,75</t>
  </si>
  <si>
    <t>7.1.8</t>
  </si>
  <si>
    <t>Instalacijska cijev</t>
  </si>
  <si>
    <t>savitljiva, fi 16 mm</t>
  </si>
  <si>
    <t>tip : CS 16</t>
  </si>
  <si>
    <t>7.1.9</t>
  </si>
  <si>
    <t>kruta, fi 16 mm</t>
  </si>
  <si>
    <t>tip : PNT 16</t>
  </si>
  <si>
    <t>7.1.10</t>
  </si>
  <si>
    <t>BNC konektor za RG 59 kabel</t>
  </si>
  <si>
    <t>tip: BNC</t>
  </si>
  <si>
    <t>7.1.11</t>
  </si>
  <si>
    <t>Obuka korisnika i izrada tehničke dokumentacije</t>
  </si>
  <si>
    <t>UKUPNO VII</t>
  </si>
  <si>
    <t>VIII.</t>
  </si>
  <si>
    <t>KONTROLA PRISTUPA</t>
  </si>
  <si>
    <t>Izrada sustava kontrole pristupa komplet sa ugradnjom, montažom, spajanjem, testiranjem i parametriranjem do potpune funkcionalnosti uključujući  završna ispitivanja i mjerenja:</t>
  </si>
  <si>
    <t>8.1.1</t>
  </si>
  <si>
    <t>TruPortal Kontroler</t>
  </si>
  <si>
    <t>do 2-vrata i 4-čitača, u metalnom kućištu sa UPS napajanjem  4A</t>
  </si>
  <si>
    <t>8.1.2</t>
  </si>
  <si>
    <t xml:space="preserve">Akumulatorska baterija </t>
  </si>
  <si>
    <t>rezervnog napajanja, 12 V DC / 7 Ah</t>
  </si>
  <si>
    <t>8.1.3</t>
  </si>
  <si>
    <t xml:space="preserve">Elektroprihvatnik </t>
  </si>
  <si>
    <t>sa podešavanjem, univerzalni lijevi/desni</t>
  </si>
  <si>
    <t>8.1.4.</t>
  </si>
  <si>
    <t>RTE Tipka</t>
  </si>
  <si>
    <t>Tipka za izlaz</t>
  </si>
  <si>
    <t>8.1.5</t>
  </si>
  <si>
    <t>Autorizacijska kartica</t>
  </si>
  <si>
    <t>TruPortal Credential - Classic ISO Cards - Mifare 4K - No Magstripe Gloss/Gloss - 25 pack</t>
  </si>
  <si>
    <t>8.1.6</t>
  </si>
  <si>
    <t>Serversko računalo sustava kontrole pristupa, evidencije radnog vremena i integracijskog sustava.</t>
  </si>
  <si>
    <t>8.1.7</t>
  </si>
  <si>
    <t>Telekomunikacijski kabel</t>
  </si>
  <si>
    <t>tip: J-Y(St)Y 3x2x0.8</t>
  </si>
  <si>
    <t>tip: J-Y(St)Y 2x2x0.6</t>
  </si>
  <si>
    <t>tip: J-Y(St)Y 3x2x0.6</t>
  </si>
  <si>
    <t>8.1.8</t>
  </si>
  <si>
    <t>Instalacijska cijev kruta- PNT</t>
  </si>
  <si>
    <t>tip: PNT 16</t>
  </si>
  <si>
    <t>8.1.9</t>
  </si>
  <si>
    <t>usluga postavljanja programske aplikacije na Serversko računalo sustava kontrole pristupa, evidencije radnog vremena i integracijskog sustava</t>
  </si>
  <si>
    <t>8.1.10</t>
  </si>
  <si>
    <t>Puštanje u pogon, testiranje i korisničko parametriranje sustava KP</t>
  </si>
  <si>
    <t>8.1.11</t>
  </si>
  <si>
    <t>Izrada pisanih uputa</t>
  </si>
  <si>
    <t>8.1.12</t>
  </si>
  <si>
    <t>Obuka korisnika za rad na sustavu evidencije radnog vremena</t>
  </si>
  <si>
    <t>sati</t>
  </si>
  <si>
    <t>UKUPNO VIII</t>
  </si>
  <si>
    <t>IX.</t>
  </si>
  <si>
    <t>PORTAFONSKA INSTALACIJA</t>
  </si>
  <si>
    <t>Dobava, ugradnja i spajanje portafonskog dvožičnog digitalnog audio sustava:</t>
  </si>
  <si>
    <t>VANJSKA JEDINICA (SA KOLNIM VRATIMA )</t>
  </si>
  <si>
    <t>9.1.1</t>
  </si>
  <si>
    <t>9.1.2</t>
  </si>
  <si>
    <t>9.1.3</t>
  </si>
  <si>
    <t>9.1.4</t>
  </si>
  <si>
    <t>9.1.5</t>
  </si>
  <si>
    <t>9.1.6</t>
  </si>
  <si>
    <t>9.1.7</t>
  </si>
  <si>
    <t>9.1.8</t>
  </si>
  <si>
    <t>NAPAJANJE (UGRADITI U RO)</t>
  </si>
  <si>
    <t>9.1.9</t>
  </si>
  <si>
    <t>9.1.10</t>
  </si>
  <si>
    <t>9.1.11</t>
  </si>
  <si>
    <t>9.1.12</t>
  </si>
  <si>
    <t>UNUTARNJE JEDINICE</t>
  </si>
  <si>
    <t>9.1.13</t>
  </si>
  <si>
    <t>9.1.14</t>
  </si>
  <si>
    <t>VRATA PJEŠAČKA/KOLNA</t>
  </si>
  <si>
    <t>9.1.15</t>
  </si>
  <si>
    <t>9.2</t>
  </si>
  <si>
    <t>UKUPNO IX.</t>
  </si>
  <si>
    <t>X.</t>
  </si>
  <si>
    <t>SUSTAV GRIJANJA OLUKA</t>
  </si>
  <si>
    <t>Dobava, montaža i spajanje sustava za grijanje oluka koja se sastoji od:</t>
  </si>
  <si>
    <t>10.1.1</t>
  </si>
  <si>
    <t>10.1.2</t>
  </si>
  <si>
    <t>10.1.3</t>
  </si>
  <si>
    <t>10.1.4</t>
  </si>
  <si>
    <t>10.1.5</t>
  </si>
  <si>
    <t>lanac za montažu kabela u oborinske vertikale</t>
  </si>
  <si>
    <t>10.1.6</t>
  </si>
  <si>
    <t>držači kabela u oluku</t>
  </si>
  <si>
    <t>10.2</t>
  </si>
  <si>
    <t>sitni spojni i instalacijski materijal</t>
  </si>
  <si>
    <t>Napomena: osigurači i drugi potrebni uređaji nalaze se u stavci III</t>
  </si>
  <si>
    <t>UKUPNO X</t>
  </si>
  <si>
    <t>XI.</t>
  </si>
  <si>
    <t>SUSTAV ZAŠTITE OD DJELOVANJA MUNJE</t>
  </si>
  <si>
    <t>11.1.1</t>
  </si>
  <si>
    <t>11.1.2</t>
  </si>
  <si>
    <t>11.1.3</t>
  </si>
  <si>
    <t>11.1.4</t>
  </si>
  <si>
    <t>11.1.5</t>
  </si>
  <si>
    <t>11.1.6</t>
  </si>
  <si>
    <t>11.1.7</t>
  </si>
  <si>
    <t>11.1.8</t>
  </si>
  <si>
    <t>11.1.9</t>
  </si>
  <si>
    <t>11.1.10</t>
  </si>
  <si>
    <t>11.1.11</t>
  </si>
  <si>
    <t>11.1.12</t>
  </si>
  <si>
    <t>11.1.13</t>
  </si>
  <si>
    <t>11.1.14</t>
  </si>
  <si>
    <t>11.1.15</t>
  </si>
  <si>
    <t>11.1.16</t>
  </si>
  <si>
    <t>11.1.17</t>
  </si>
  <si>
    <t>11.1.18</t>
  </si>
  <si>
    <t>11.1.19</t>
  </si>
  <si>
    <t>11.1.20</t>
  </si>
  <si>
    <t>11.1.21</t>
  </si>
  <si>
    <t>11.1.22</t>
  </si>
  <si>
    <t>Dobava, montaža i spajanje sabirnice za izjednačenje potencijala s metalnim nožicama prema DIN VDE 0100-410/-540 kao i uzemljenja prema DIN VDE 0185-305, S ugrađenom sabirnicom za izjednačenje potencijala 1809 (bez poklopca)
• Kutija s kabelskim ulazima za vodiče i poklopac
Mogućnosti priključka:
• 7 x vodiča do 25 mm²
• 1 x okrugli vodič Rd 8-10 mm²
• 1 x plosnati vodič do FL 30 ili okrugli vodič Rd 8-10</t>
  </si>
  <si>
    <t>11.2</t>
  </si>
  <si>
    <t>UKUPNO XI</t>
  </si>
  <si>
    <t>ISPITIVANJE I MJERENJE</t>
  </si>
  <si>
    <t>Rezultate dostaviti u elektroničkom i papirnatom obliku s odgovarajućim oznakama i izračunom ukupne dužine izmjerenih kabela; Rezultate dostaviti u elektroničkom i papirnatom obliku s odgovarajućim oznakama i izračunom ukupne dužine izmjerenih kabela; odnosno sva ispitivanja instalacija i opreme</t>
  </si>
  <si>
    <t>XIII.</t>
  </si>
  <si>
    <t>DOKUMENTACIJA</t>
  </si>
  <si>
    <t xml:space="preserve">Izrade "red mark-up" dokumentacija ovjerene od strane izvođača i od ovlaštenog nadzornog inženjera u digitalnom editabilnom formatu. "Red mark-up" dokumentacije (izvedbena dokumentacija s naznačenim izmjenama koje su prethodno odobrene) u obavezi je Izvođača /Naručitelja a služi kao podloga Projektantu za izradu as built dokumenatacije (3 primjerka na papiru +1 u elektronskom obliku na CD-R mediju u nezaključanom formatu: doc, xls i dwg)
</t>
  </si>
  <si>
    <t>Dostava jednopolnih shema – izvedeno stanje u PVC foliji i umetanje unutar svih razdjelnika</t>
  </si>
  <si>
    <t>UKUPNO XIII</t>
  </si>
  <si>
    <t>V</t>
  </si>
  <si>
    <t>VI</t>
  </si>
  <si>
    <t>VII</t>
  </si>
  <si>
    <t>VIII</t>
  </si>
  <si>
    <t>IX</t>
  </si>
  <si>
    <t>X</t>
  </si>
  <si>
    <t>XI</t>
  </si>
  <si>
    <t>XII</t>
  </si>
  <si>
    <t>XIII</t>
  </si>
  <si>
    <t>NAPOMENE:</t>
  </si>
  <si>
    <t>Kod dijelova cjevovoda iz "crnog" čelika koji su položeni u zemlju, obvezatan je sljedeći postupak antikorozivne zaštite: čišćenje do II stupnja, nanošenje tankog bitumenskog premaza u hladnom stanju, nanošenje tankog bitumenskog premaza u toplom stanju, spiralno namotavanje staklene vune ili drugog podobnog  tekstilnog materijala natopljenog bitumenom, nanošenje drugog bitumenskog sloja u toplom stanju, spiralno namotavanje staklene vune ili drugog pogodnog tekstilnog materijala, nanošenje trećeg bitumenskog sloja u toplom stanju te kao završni sloj, nanošenje vapnenog mlijeka.</t>
  </si>
  <si>
    <r>
      <t xml:space="preserve">Navedene duljine cijevi unutar objekta ovise o tipu ugrađene opreme i izvedenom stanju građevinskog objekta te ih valja shvatiti samo paušalno. Stoga se svi cjevovodi, fazoni i prirubnice izrađene od čelika isporučuju </t>
    </r>
    <r>
      <rPr>
        <b/>
        <u/>
        <sz val="12"/>
        <color indexed="8"/>
        <rFont val="Arial Narrow"/>
        <family val="2"/>
        <charset val="238"/>
      </rPr>
      <t>NEZAVARENI</t>
    </r>
    <r>
      <rPr>
        <b/>
        <sz val="12"/>
        <color indexed="8"/>
        <rFont val="Arial Narrow"/>
        <family val="2"/>
        <charset val="238"/>
      </rPr>
      <t>, pojedinačno u skladu sa specifikacijom u troškovniku. Zavarivanje pojedinih cijevnih elemenata i fazona te završnu izradu pozicija izvršiti u radionici tek nakon provjere stvarno izvedenih kota objekta i ugrađene opreme. Po mogućnosti, sva zavarivanja izvršiti u povoljnim radioničkim uvjetima.</t>
    </r>
  </si>
  <si>
    <t>Sve cijevi, armatura i dr. NP10, osim ako stavkom nije drukčije specificirano.</t>
  </si>
  <si>
    <t>Izvođač je dužan o svom trošku osigurati gradilište i građevinu od štetnog utjecaja vremenskih nepogoda.</t>
  </si>
  <si>
    <t>Izvođač je dužan izvesti pomoćna sredstva za rad kao što su skele, ograde, skladišta, dizalice, dopremiti i postaviti strojeve, alat, potreban pribor itd.  te poduzeti sve mjere sigurnosti da ne dođe do smetnji i opasnosti po život i zdravlje zaposlenika, drugog osoblja i prolaznika. Svaka eventualna šteta koja bi bila prouzročena prolazniku, susjednoj građevini, cesti itd. pada na teret izvođača koji je dužan ukloniti i nadoknaditi štetu u određenom roku.</t>
  </si>
  <si>
    <t>Nadzor glede čuvanja građevine, gradilišta, postrojenja, alata i materijala pada na teret izvoditelja.</t>
  </si>
  <si>
    <t>Jedinične cijene pojedinih stavki troškovnika sadržavaju troškove za posve dogotovljen rad. One uključuju materijal, pomoćna sredstva kao što su voda, električna energija, alat, oplata, skela ili slično, za svu radnu snagu, za sve pripremne radove (kao npr. postavljanje baraka ili kontejnera i postrojenja, uključivo s demontažom i otpremom s gradilišta nakon završetka radova i druge troškove koji se u bilo kojem obliku pojave za potrebe gradnje). Čišćenje i uređenje gradilišta također je sadržano u jediničnim cijenama.</t>
  </si>
  <si>
    <t>Prije davanja ponude, izvođač mora pregledati projektnu dokumentaciju te zatražiti objašnjenje za eventualne nejasne stavke te provjeriti dokaznicu mjera i na vrijeme dati svoje primjedbe. Kasnije primjedbe ne mogu se uzimati u obzir.</t>
  </si>
  <si>
    <t>Obračun radova provodi se prema tehničkim normativima i njihovim dopunama. Za slučaj da opis pojedinih radova u troškovniku po mišljenju izvoditelja ili bilo kojeg drugog sudionika u gradnji nije potpun, izvođač je dužan izvesti radove prema pravilima struke uz konzultaciju projektanta koji je jedini mjerodavan tumačiti dijelove svog projekta.</t>
  </si>
  <si>
    <t>Izvođač u potpunosti odgovara za ispravnost izvršene isporuke i odgovoran je za eventualno loš rad ili kvalitetu dobave iz trgovačke mreže ili podizvoditelja.</t>
  </si>
  <si>
    <t>Izvođač je dužan posjedovati potrebne certifikate za sve materijale i opremu koju ugrađuje u pojedini objekt, a prije tehničkog pregleda, svu dokumentaciju mora predati investitoru.</t>
  </si>
  <si>
    <t>Sve izmjene u projektu, opisu radova i jediničnim cijenama mogu uslijediti samo uz suglasnost projektanta i po odobrenju nadzornog inženjera (investitora). Isto vrijedi i u slučaju pojave bilo kakvih nepredviđenih okolnosti tijekom građenja.</t>
  </si>
  <si>
    <t>Trošak ispitivanja materijala pada na teret izvođača, tj. smatrat će se da su jediničnom cijenom u danoj ponudi obuhvaćena i navedena ispitivanja.</t>
  </si>
  <si>
    <t>Izvođač je dužan radove izvesti sukladno projektnoj dokumentaciji, pravilima struke, važećim zakonima, podzakonskim aktima, normama, propisima i uputama proizvođača materijala i opreme.</t>
  </si>
  <si>
    <t>VAŽNO!!!</t>
  </si>
  <si>
    <t>Navedene stavke uključuju nabavu, dopremu na gradilište te ugradnju specificiranog materijala i opreme. Cijenom je potrebno obuhvatiti svu potrebnu opremu i pribor za ugradnju do potpunog kompletiranja svake pojedine stavke. Elektro oprema i radovi NISU obuhvaćeni ovim troškovnikom.</t>
  </si>
  <si>
    <t>red. broj</t>
  </si>
  <si>
    <t>vrsta radova</t>
  </si>
  <si>
    <t>jedinica mjere</t>
  </si>
  <si>
    <t>količina</t>
  </si>
  <si>
    <t>jedinična cijena</t>
  </si>
  <si>
    <t>UKUPNO</t>
  </si>
  <si>
    <t>PLINSKA INSTALACIJA</t>
  </si>
  <si>
    <t>Dolje navedene stavke obuhvaćaju nabavu, dopremu i montažu predmetne opreme do postizanja pune funkcionalnosti stavki</t>
  </si>
  <si>
    <t xml:space="preserve">Cijenom je potrebno obuhvatiti sve radove do potpunog kompletiranja svake pojedine stavke. </t>
  </si>
  <si>
    <t xml:space="preserve">Ovim troškovnikom nisu uzeti u obzir nikakvi elektro-radovi. </t>
  </si>
  <si>
    <t>IZGRADNJA NOVOG PLINSKOG PRIKLJUČKA</t>
  </si>
  <si>
    <t>1.1.1.</t>
  </si>
  <si>
    <t>Predviđena je izgradnja novog ST plinskog priključka 1-3 bar za potrebe plinskog konzuma poslovnog objekta.  
Isti će se izvršiti iz PEHD d25 x 2.3 mm cijevi koji se pomoću nabušnog sedla za spajanje pod tlakom plina spaja na ST distributivni plinovod PEHD d110 x 10.0 mm.</t>
  </si>
  <si>
    <t>PEHD d25 x 2.3 mm</t>
  </si>
  <si>
    <t>Komplet sa svim dodatnim radovima na iskopu i zavarivanju  sa svim potrebnim materijalom.</t>
  </si>
  <si>
    <t>komplet</t>
  </si>
  <si>
    <t>Sukladno energetskim uvjetima distributera, ovo izvodi ovlašteni plinoinstalater koji nakon izvršenih radova MRS G4 prijavljuje distributeru.</t>
  </si>
  <si>
    <t>1.1.2.</t>
  </si>
  <si>
    <t>Spojni i fazonski PEHD PE 100 komadi za izvođenje PP</t>
  </si>
  <si>
    <t>* nabušno sedlo d110/d25</t>
  </si>
  <si>
    <t>* elektro spojnice d25</t>
  </si>
  <si>
    <t>* redukcija d32/d25</t>
  </si>
  <si>
    <t>* ostali materijal i pribor za spajanje PP</t>
  </si>
  <si>
    <t>1.1.3.</t>
  </si>
  <si>
    <t>1.1.4.</t>
  </si>
  <si>
    <r>
      <t>Građevinski radovi na izgradnji mjerene plinske instalacije. Predviđeno polaganje PEHD d32</t>
    </r>
    <r>
      <rPr>
        <sz val="10"/>
        <rFont val="Arial Narrow"/>
        <family val="2"/>
        <charset val="238"/>
      </rPr>
      <t xml:space="preserve"> x 3.0 mm cijevi za plin.</t>
    </r>
    <r>
      <rPr>
        <sz val="10"/>
        <color indexed="8"/>
        <rFont val="Arial Narrow"/>
        <family val="2"/>
        <charset val="238"/>
      </rPr>
      <t> Predviđen je rov širine 0.6 m i prosječne dubine iskopa 1.2 m. U cijenu su uključeni iskop, izrada nivelirane pješčane posteljice, zatrpavanje uz neophodno nabijanje do potrebnog stupnja, odvoz viška materijala kao i uređenje okolnog terena nakon završetka radova. U cijenu uključiti rezanje i naknadno popravljenje asfaltnog sloja</t>
    </r>
    <r>
      <rPr>
        <sz val="10"/>
        <color indexed="10"/>
        <rFont val="Arial Narrow"/>
        <family val="2"/>
        <charset val="238"/>
      </rPr>
      <t> </t>
    </r>
    <r>
      <rPr>
        <sz val="10"/>
        <color indexed="8"/>
        <rFont val="Arial Narrow"/>
        <family val="2"/>
        <charset val="238"/>
      </rPr>
      <t>u zoni radova na izvođenju plinske instalacije.</t>
    </r>
  </si>
  <si>
    <t>1.1.5.</t>
  </si>
  <si>
    <t>Nabava, doprema i ugradnja samostojećeg tipskog plinskog seta  G-4.</t>
  </si>
  <si>
    <r>
      <t>Regulator tlaka za tlakove 1-3 bar / 23 mbar pri maksimalnom protoku 6 m</t>
    </r>
    <r>
      <rPr>
        <vertAlign val="superscript"/>
        <sz val="10"/>
        <color indexed="8"/>
        <rFont val="Arial Narrow"/>
        <family val="2"/>
        <charset val="238"/>
      </rPr>
      <t>3</t>
    </r>
    <r>
      <rPr>
        <sz val="10"/>
        <color indexed="8"/>
        <rFont val="Arial Narrow"/>
        <family val="2"/>
        <charset val="238"/>
      </rPr>
      <t>/h</t>
    </r>
  </si>
  <si>
    <r>
      <t>*Plinomjer s mijehom i temperaturnim korektorom protoka, veličine G4, maksimalnog protoka 6 m</t>
    </r>
    <r>
      <rPr>
        <vertAlign val="superscript"/>
        <sz val="10"/>
        <color indexed="8"/>
        <rFont val="Arial Narrow"/>
        <family val="2"/>
        <charset val="238"/>
      </rPr>
      <t>3</t>
    </r>
    <r>
      <rPr>
        <sz val="10"/>
        <color indexed="8"/>
        <rFont val="Arial Narrow"/>
        <family val="2"/>
        <charset val="238"/>
      </rPr>
      <t>/h</t>
    </r>
  </si>
  <si>
    <t>*Prijelazna spojnica PEHD d32 / Č. DN25 PN6</t>
  </si>
  <si>
    <t>*Navojna plinska kuglasta slavina DN25 PN6</t>
  </si>
  <si>
    <t>*Hvatač nečistoće za plin DN25 PN6</t>
  </si>
  <si>
    <t>*Spojna cijev - most (2x Luk 90° DN25PN6 + cijev odgovarajuće duljine za spoj na plinomjer)</t>
  </si>
  <si>
    <t>*Fleksibilna cijev DN25</t>
  </si>
  <si>
    <t>*Samostojeći tipski limeni ormarić 600 x 600 x 260 mm s vratašcima, ventilacijskim otvorima i bravicom</t>
  </si>
  <si>
    <t>*Naljepnice  upozorenja  : zabrana  upotrebe  iskrećeg alata, opasnost od požara,  zabrana  pušenja</t>
  </si>
  <si>
    <t>*Podnicu  MRS-e  montirati  od  neiskrećeg  materijala – berilij  bakar (590 mm x 250mm)</t>
  </si>
  <si>
    <t>*Rastavne veze DN25 PN6</t>
  </si>
  <si>
    <t>1.1.6.</t>
  </si>
  <si>
    <t>Nabava, doprema i ugradnja fleksibilne zaštitne cijevi.</t>
  </si>
  <si>
    <t>d63 mm</t>
  </si>
  <si>
    <t>1.1.7.</t>
  </si>
  <si>
    <t>Zaštitna čelična cijev za zaštitu vertikale PEHD plinskog priključka prema MRS.</t>
  </si>
  <si>
    <t xml:space="preserve"> DN32 (Ø42.4 x 3.25 mm)</t>
  </si>
  <si>
    <t xml:space="preserve"> DN40 (Ø48.3 x 3.25 mm)</t>
  </si>
  <si>
    <t>Tlačna proba Plinskog priključka</t>
  </si>
  <si>
    <t>Ispitivanje plinskog priključka je ispitivanje nepropusnosti. Ispitni tlak mora biti 1,1 puta veći od vrijednosti najvećeg radnog tlaka. Nakon postizanja tlaka na ispitni tlak (brzina podizanja tlaka može iznositi najviše 2 bar/min) i nakon vremena mirovanja radi izjednačenja temperature (1 h/bar) može započeti mjerenje.</t>
  </si>
  <si>
    <t>UNUTARNJA PLINSKA INSTALACIJA</t>
  </si>
  <si>
    <t>1.2.1.</t>
  </si>
  <si>
    <t>Izvan zgrade</t>
  </si>
  <si>
    <t>Polaganje UPI u zemlji do ulaska u zgradu. Nakon ulaska u zgradu prijelaz na čelične cijevi i vođenje nadžbukno.</t>
  </si>
  <si>
    <t>Komplet s prodorima cjevovoda kroz građevinske elemente u zaštitnoj cijevi, dvije dimenzije većoj, brtvljenje prodora trajno-elastičnim kitom.</t>
  </si>
  <si>
    <t>1.2.1.1</t>
  </si>
  <si>
    <t>d32 x 3.0 mm</t>
  </si>
  <si>
    <t>1.2.1.2</t>
  </si>
  <si>
    <t>luk 90° d32</t>
  </si>
  <si>
    <t>1.2.1.3</t>
  </si>
  <si>
    <t>prijelazna spojnica PEHD/Č. d32/DN25</t>
  </si>
  <si>
    <t>1.2.2.</t>
  </si>
  <si>
    <t>Unutar zgrade</t>
  </si>
  <si>
    <t>1.2.2.1</t>
  </si>
  <si>
    <t>Ø33.7 x 3.25 mm</t>
  </si>
  <si>
    <t>1.2.2.2</t>
  </si>
  <si>
    <t>luk 90° DN25</t>
  </si>
  <si>
    <t>Količine cijevi su navedene paušalno. Obračun prema stvarnom utrošku materijala uz odobrenje nadzornog inženjera</t>
  </si>
  <si>
    <t>1.2.3.</t>
  </si>
  <si>
    <t xml:space="preserve">                </t>
  </si>
  <si>
    <r>
      <t>Nabava, doprema i ugradnja kuglaste slavine za plin s termoosiguračem 700</t>
    </r>
    <r>
      <rPr>
        <sz val="10"/>
        <color indexed="8"/>
        <rFont val="Calibri"/>
        <family val="2"/>
        <charset val="238"/>
      </rPr>
      <t>°</t>
    </r>
    <r>
      <rPr>
        <sz val="10"/>
        <color indexed="8"/>
        <rFont val="Arial Narrow"/>
        <family val="2"/>
        <charset val="238"/>
      </rPr>
      <t>C</t>
    </r>
  </si>
  <si>
    <t>DN 25 PN 1</t>
  </si>
  <si>
    <t>1.2.5.</t>
  </si>
  <si>
    <t>Tlačna proba unutarnje plinske instalacije. O izvršenoj probi sastavlja se zapisnik kojega potpisuju nadzorni inženjer i izvođač. Proba se sastoji od slijedećeg:</t>
  </si>
  <si>
    <t>PRETHODNO ISPITIVANJE provodi se prije zažbukavanja instalacije te prije izoliranja spojeva. Ispituje se instalacija bez ugrađene armature. Za vrijeme ispitivanja svi ispusti instalacije moraju biti zatvoreni nepropusno. Spoj s instalacijom koja je pod plinom pri tome je zabranjen. Ispitivanje se vrši tlakom  1 bar zrakom ili inertnim plinom (dušik, ugljični dioksid). Ispitivanje instalacije kisikom strogo je zabranjeno. Nakon izjednačavanja temperatura cjevovoda i okoline, ispitni tlak ne smije pasti u vremenu 10 min.</t>
  </si>
  <si>
    <t>GLAVNO ISPITIVANJE je ispitivanje nepropusnosti instalacije. Odnosi se na instalaciju s armaturom, ali bez trošila, regulacijskih i sigurnosnih elemenata. Plinomjer može biti uključen u glavno ispitivanje. Glavno se ispitivanje obavlja ispitnim tlakom 110 mbar  zrakom ili inertnim plinom, ni u kom slučaju kisikom. Nakon izjednačavanja temperatura ispitni tlak ne smije pasti za ispitno vrijeme 10 minuta. Mjerni instrument mora imati mogućnost mjerenja razlike tlaka 0.1 mbar.</t>
  </si>
  <si>
    <t>ZAJEDNIČKE STAVKE</t>
  </si>
  <si>
    <t>1.3.1.</t>
  </si>
  <si>
    <t xml:space="preserve">Sitni pomoćni i montažni materijal i pribor (elektrode za zavarivanje, kisik, disous plin, brtve, pocinčani vijci, matice, tiplovi, obujmice, konzole i ostala standardna roba potrebna za ugradbu). </t>
  </si>
  <si>
    <t xml:space="preserve">NAPOMENA: Završni obračun stavke prema dokazima o stvarnom utrošku što potvrđuje nadzorni inženjer.      </t>
  </si>
  <si>
    <t>1.3.2.</t>
  </si>
  <si>
    <t>Izrada radioničkih pozicija</t>
  </si>
  <si>
    <t>1.3.3.</t>
  </si>
  <si>
    <t xml:space="preserve">Izrada detaljnih uputa za rad i održavanje postrojenja s tehnološkom shemom  </t>
  </si>
  <si>
    <t>1.3.4.</t>
  </si>
  <si>
    <t>Odvoz kompletnog otpadnog materijala na deponiju udaljenosti do 10 km.</t>
  </si>
  <si>
    <t>1.3.5.</t>
  </si>
  <si>
    <t>Transport materijala, alata i opreme na gradilište, te povrat materijala i alata s gradilišta.</t>
  </si>
  <si>
    <t>1.3.6.</t>
  </si>
  <si>
    <t>Prateći građevinski radovi uz strojarske radove, a koji uključuju: bušenje rupa za prolaz instalacija, usijecanje instalacijskih koridora u zid i pod objekta, zatvaranje i obrada oštećenih građevinskih elemenata i sl.</t>
  </si>
  <si>
    <t>1.3.7.</t>
  </si>
  <si>
    <t>Odzračivanje plinske instalacije, prvo punjenje i puštanje instalacije u pogon u nazočnosti distributera plina. Uključivo sve potrebne radnje do postizanja pune funkcionalnosti plinske instalacije.</t>
  </si>
  <si>
    <t>NAPOMENA: Završni obračun stavke prema dokazima o stvarnom utrošku isporučitelja opreme ili ovlaštenog servisera što potvrđuje nadzorni inženjer</t>
  </si>
  <si>
    <t>1.3.8.</t>
  </si>
  <si>
    <t>Izrada izvedbenog projekta usklađenog sa zahtjevima glavnog projekta, te ishođenje potvrde o suglasnosti s glavnim projektom.</t>
  </si>
  <si>
    <t>Nepredviđeni radovi i oprema koji se ukažu prilikom izvođenja. Isti se izvode uz suglasnost investitora, distributera i nadzornog inženjera. Za ovu stavku izvođač radova dužan je dati jediničnu cijenu za svaku vrstu radova posebno.</t>
  </si>
  <si>
    <t xml:space="preserve">                                      UKUPNO:</t>
  </si>
  <si>
    <t xml:space="preserve">2. </t>
  </si>
  <si>
    <t>PRIMARNA STRANA SUSTAVA GRIJANJA / HLAĐENJA</t>
  </si>
  <si>
    <t xml:space="preserve">NAPOMENA: </t>
  </si>
  <si>
    <t>Dolje navedene stavke obuhvaćaju nabavu, dopremu i montažu predmetne opreme do postizanja pune funkcionalnosti stavki.</t>
  </si>
  <si>
    <t>DIZALICA TOPLINE I PRATEĆA OPREMA</t>
  </si>
  <si>
    <t>2.1.1.</t>
  </si>
  <si>
    <t>2.1.2.</t>
  </si>
  <si>
    <t xml:space="preserve">Puštanje u pogon gore navedene opreme iz stavke 1., od strane ovlaštenog servisera. U cijenu uključiti ishodovanje svih potrebnih atesta za opremu, sva potrebna ispitivanja do pune pogonske sposobnosti uređaja, davanje uputa o korištenju i održavanju; pribavljanje atestne dokumentacije,  garancijskih listova, kao i sve druge dokumentacije za rad i održavanje uređaja na hrvatskom jeziku, te dokumentacije potrebne za tehnički pregled. </t>
  </si>
  <si>
    <t xml:space="preserve">                                                   UKUPNO:</t>
  </si>
  <si>
    <t xml:space="preserve">2.2. </t>
  </si>
  <si>
    <t>OPREMA STROJARNICE</t>
  </si>
  <si>
    <t xml:space="preserve">dolje navedene stavke obuhvaćaju nabavu, dopremu i montažu predmetne opreme. Cijenom obuhvatiti i odgovarajuće čvrste i klizne točke, oslonce te ostalu opremu do postizanja pune funkcionalnosti stavki. </t>
  </si>
  <si>
    <t>2.2.1.</t>
  </si>
  <si>
    <t>- Najveće toplinsko opterećenje na strani grijanja: 30,6 kW
- Najmanje toplinsko opterećenje: 6,2 kW
- Područje podešavanja grijanja: 6 - 30 kW                 Učinak/opterećenje G31
- Područje nazivnog toplinskog učinka P pri 50/30 °C: 9,4 - 31,8 kW
- Područje nazivnog toplinskog učinka P pri 80/60 °C: 8,5 - 30,0 kW
- Najveće toplinsko opterećenje na strani grijanja: 30,6 kW
- Najmanje toplinsko opterećenje: 9,0 kW
Grijanje
- Maksimalna temperatura polaznog voda: 85 °C 
- Područje podešavanja maks. temperature polaznog voda (tvornička postavka 75 °C): 30 - 80 °C
- Dopušteni ukupni pretlak: 3 bar
- Količina cirkulacije vode (u odnosu na ΔT=20 K): 1290 l/h
- Približna količina kondenzata (pH vrijednost 3,5 - 4,0) u pogonu grijanja s 50/30 °C: 3,1 l/h
- Preostala visina dobave crpke: 0,25 bar</t>
  </si>
  <si>
    <t xml:space="preserve">kom. </t>
  </si>
  <si>
    <t>Sifon R1" i PVC cijev do spoja s odvodnjom</t>
  </si>
  <si>
    <t>Plinski ventil ravni Rp 3/4" sa protupožarnom zaštitom</t>
  </si>
  <si>
    <t xml:space="preserve">Osnovni priključni set, priključak na koncentrični dimovod za vođenje po fasadi, 80/125 (legirani čelik/PP), sastoji se od:
- koncentričnog produžetka za provođenje kroz fasadu 80/125, s koljenom 87 °, legirani čelik
- revizijskog T-komada (bijeli)
- koncentričnog produžetka 80/125, 0,5 m, unutarnjeg
- unutarnje rozete 125 mm, bijele
- vanjske rozete 80/125, u dva dijela, legirani čelik
- dvije obujmice, vanjske, legirani čelik
- dvije obujmice 70 mm, bijele, unutarnje
- završnog elementa
- elementa za usis svježeg zraka, legirani čelik
</t>
  </si>
  <si>
    <t>Vanjska zidna potporna konzola 50 - 300 mm podesiva
- legirani čelik</t>
  </si>
  <si>
    <t xml:space="preserve">Razdijelni element 80/125 (za kondenzacijske uređaje)
</t>
  </si>
  <si>
    <t>Produžetak koncentrični za vođenje po fasadi 1,0 m PP/legirani čelik
- uključene obujmice</t>
  </si>
  <si>
    <t>Revizijski otvor 0,25 m, koncentrični, na vanjskom dijelu, 80/125 PP/legirani čelik</t>
  </si>
  <si>
    <t>Zidni držač 50 do 90 mm, legirani čelik</t>
  </si>
  <si>
    <t>2.2.2.</t>
  </si>
  <si>
    <t>Nabava, doprema i ugradnja akumulacijskog spremnika tople / hladne vode (puffer) kapaciteta 500 l, s četiri priključka DN50, priključkom 1 1/2" na vrhu spremnika za odzračnik, priključkom na dnu za punjenje/pražnjenje 2", s tri puškice za temperaturne osjetnike u dnu, sredini i vrhu s toplinskom izolacijom debljine 20 mm.</t>
  </si>
  <si>
    <t>Kompletirano s automatskim odzračnim lončićem (za spremnik rashladne vode) i svom ostalom potrebnom opremom do postizanja pune funkcionalnosti stavke.</t>
  </si>
  <si>
    <t xml:space="preserve">U donjoj polovici spremnika ugrađen je izmjenjivač topline </t>
  </si>
  <si>
    <t>Komplet s električnim grijačem 3 kW</t>
  </si>
  <si>
    <t>2.2.3.</t>
  </si>
  <si>
    <t>Nabava, doprema i ugradnja tlačne membranske ekspanzijske posude sustava toplovodnog grijanja radnog volumena 35 l, radnog tlaka do 6 bar</t>
  </si>
  <si>
    <t>2.2.4.</t>
  </si>
  <si>
    <t xml:space="preserve"> -dimenzija razdjelnika Ø88.9 x 3.2 mm (DN80). Duljina razdjelnika L~1500 mm, 1 x ulaz: 1 x DN50 i 3 x izlaz:  1 x DN50, 1 x DN25 i 1 x DN20</t>
  </si>
  <si>
    <t xml:space="preserve"> -dimenzija sakupljača Ø88.9 x 3.2 mm (DN80). Duljina razdjelnika L~1500 mm, 1 x ulaz: 1 x DN50 i 3 x izlaz:  1 x DN50, 1 x DN25 i 1 x DN20</t>
  </si>
  <si>
    <t>2.2.5.</t>
  </si>
  <si>
    <t>Nabava, doprema i ugradnja kuglaste zaporne slavine (navojne ili prirubničke) za sustav grijanja/hlađenja, s kuglom izrađenom iz INOX-a i PTFE brtvom. Potrebna je otpornost armature na povišene temperature (do 100º C)</t>
  </si>
  <si>
    <t>DN15 PN6</t>
  </si>
  <si>
    <t>DN20 PN6</t>
  </si>
  <si>
    <t>DN25 PN6</t>
  </si>
  <si>
    <t>DN40 PN6</t>
  </si>
  <si>
    <t>DN50 PN6</t>
  </si>
  <si>
    <t>2.2.6.</t>
  </si>
  <si>
    <t>Nabava, doprema i ugradnja protupovratnog ventila za sustav grijanja / hlađenja</t>
  </si>
  <si>
    <t>2.2.7.</t>
  </si>
  <si>
    <t>Nabava, doprema i ugradnja troputnog miješajućeg ventila za sustave grijanja i hlađenja. Kućište lijevano-željezno GG25 s vanjskim navojem, PN16, pogodan za čistu vodu te vodu s dodatkom glikola do 120°C</t>
  </si>
  <si>
    <r>
      <t>DN15 / kvs=1.6 m</t>
    </r>
    <r>
      <rPr>
        <sz val="10"/>
        <color rgb="FF000000"/>
        <rFont val="Calibri"/>
        <family val="2"/>
        <charset val="238"/>
      </rPr>
      <t>³</t>
    </r>
    <r>
      <rPr>
        <sz val="10"/>
        <color rgb="FF000000"/>
        <rFont val="Arial Narrow"/>
        <family val="2"/>
        <charset val="238"/>
      </rPr>
      <t>/h, Pel = ca. 100 W</t>
    </r>
  </si>
  <si>
    <t>2.2.8.</t>
  </si>
  <si>
    <t>Sigurnosno-tehnička oprema kotlovnice:</t>
  </si>
  <si>
    <r>
      <t>sigurnosni ventil za sustav grijanja, p</t>
    </r>
    <r>
      <rPr>
        <vertAlign val="subscript"/>
        <sz val="10"/>
        <color indexed="8"/>
        <rFont val="Arial Narrow"/>
        <family val="2"/>
        <charset val="238"/>
      </rPr>
      <t>max</t>
    </r>
    <r>
      <rPr>
        <sz val="10"/>
        <color indexed="8"/>
        <rFont val="Arial Narrow"/>
        <family val="2"/>
        <charset val="238"/>
      </rPr>
      <t>=3.0 bar, toplinska snaga sustava 30 kW</t>
    </r>
  </si>
  <si>
    <t>2.2.9.</t>
  </si>
  <si>
    <t>2.2.10.</t>
  </si>
  <si>
    <t>Nabava, doprema i ugradnja hvatača nečistoće za sustav centralnog grijanja. Mesingano kućište, navojni spoj. Max. radni tlak: 3 bar.
Tmin÷Tmax: 0÷90°C.</t>
  </si>
  <si>
    <t>2.2.12.</t>
  </si>
  <si>
    <t>Nabava, doprema i ugradnja troputnog prekretnog ventila za sustav grijanja / hlađenja. Prekretni ventil, za razvođenje masenog protoka u sustavima grijanja i hlađenja, izrađen je od bronce, sa zaštitnom kapicom.
Vreteno od nehrđajućeg čelika s dvostrukim O-brtvenim prstenom. Vanjski O-brtveni prsten može se zamijeniti bez pražnjenja sustava.</t>
  </si>
  <si>
    <t>2.2.13.</t>
  </si>
  <si>
    <t>Nabava, doprema i ugradnja prestrujnog samoradnog ventila između polaza i povrata ogrijevnih krugova sustava radijatorskog grijanja s malim volumenom vode. Automatsko otvaranje ventila s povećanjem diferencijalnog tlaka. Područje podešavanja 0.05-0.5 bar, PN10, maksimalna temperatura medija 120°C.</t>
  </si>
  <si>
    <t xml:space="preserve">DN15 PN6, tlak otvaranja 0.1 bar </t>
  </si>
  <si>
    <t>2.2.14.</t>
  </si>
  <si>
    <t>Nabava, doprema i ugradnja granskih regulacijskih ventila s linearnom karakteristikom, kosim vretenom, s mjernim ventilima za mjerenje diferencijalnog tlaka; kućište od mjedi otporne na odcinčavanje, brtvljenje dvostrukom "O" brtvom, priključak obostrano kolčak; uključeno balansiranje od strane ovlaštene osobe i izrada mjernog protokola.</t>
  </si>
  <si>
    <t>Regulacijski granski ventil s mjernim ventilima i nastavcima za impulsni vod</t>
  </si>
  <si>
    <t>DN20</t>
  </si>
  <si>
    <t>DN25</t>
  </si>
  <si>
    <t>DN50</t>
  </si>
  <si>
    <t>2.2.15.</t>
  </si>
  <si>
    <t>Nabava, doprema i ugradnja elektronički regulirane cirkulacijske crpke u izvedbi s mokrim rotorom, s frekventnim pretvaračem ugrađenim na priključnoj kutiji motora crpke i rotorom elektromotora iz permanentnog magneta. Senzori diferencijalnog tlaka su ugrađeni u kućištu crpke.
Crpka stalno mjeri i nadzire protok, visinu dobave i potrošnju. Na crpki je moguće pregledati povijest rada u realnom vremenu (prikaz 3dD dijagrama – vrijeme, visina dobave, protok), te povijest potrošnje u realnom vremenu. Crpka ima integriran osjetnik temperature, te ukoliko vežemo i u suprotni vod (polaz/povrat) osjetnik temperature koji je spojen na crpku crpka može raditi i kao mjerilo toplinske energije. Crpka se može podešavati preko displeja na samoj crpki i preko Wi-Fi veze sa uređajem za podešavanjem. Crpka ima mogućnost umrežavanja sa drugom crpkom preko Wi-Fi veze bez dodatnih upravljačkih ormarića kako bi radile kao radna i rezervna crpka. 
Uz crpku se isporučuje izolacijski set crpke za grijanje.</t>
  </si>
  <si>
    <t>Upravljačka ploča je na priključnoj kutiji i crpka može raditi u 6 režima regulacije:
- regulacija proporcionalnim diferencijalnim tlakom
- regulacija konstantnim diferencijalnim tlakom
- regulacija preko AUTOADAPT funkcije – crpka se sama prilagođava hidraulici sustava, snimanjem karakteristike sustava i automatskim podešavanjem zadane vrijednosti za regulaciju proporcionalnim diferencijalnim tlakom
- regulacija preko FlowLimit funkcije – Crpka koja radi u AutoAdapt funkciji može ograničiti protok na zadani, tako da dodatno štedi energiju i ima bolji hidraulički rad.
- regulacija preko temperaturnog osjetila
- regulacija po konstantnoj krivulji
Crpka ima Indeks Energetske Učinkovitosti (EEI): 0,19</t>
  </si>
  <si>
    <t>2.2.15.1.</t>
  </si>
  <si>
    <t>Crpka polivalentne dizalice topline - Puffer, grijanje / hlađenje</t>
  </si>
  <si>
    <r>
      <t xml:space="preserve">Medij transportiranja  : Voda do 100 </t>
    </r>
    <r>
      <rPr>
        <sz val="10"/>
        <color indexed="8"/>
        <rFont val="Calibri"/>
        <family val="2"/>
        <charset val="238"/>
      </rPr>
      <t>°</t>
    </r>
    <r>
      <rPr>
        <sz val="10"/>
        <color indexed="8"/>
        <rFont val="Arial Narrow"/>
        <family val="2"/>
        <charset val="238"/>
      </rPr>
      <t>C</t>
    </r>
  </si>
  <si>
    <r>
      <t>Količina protoka    :  3.5 m</t>
    </r>
    <r>
      <rPr>
        <sz val="10"/>
        <color indexed="8"/>
        <rFont val="Calibri"/>
        <family val="2"/>
        <charset val="238"/>
      </rPr>
      <t>³</t>
    </r>
    <r>
      <rPr>
        <sz val="10"/>
        <color indexed="8"/>
        <rFont val="Arial Narrow"/>
        <family val="2"/>
        <charset val="238"/>
      </rPr>
      <t xml:space="preserve">/h </t>
    </r>
  </si>
  <si>
    <t xml:space="preserve">Visina dobave    : 50 kPa </t>
  </si>
  <si>
    <t>Radna temperatura (maks.) : 110 °C</t>
  </si>
  <si>
    <t>Radni/nazivni tlak : PN6/PN10</t>
  </si>
  <si>
    <t>2.2.15.2.</t>
  </si>
  <si>
    <t>Crpka plinskog kondenzacijskog uređaja - grijanje</t>
  </si>
  <si>
    <r>
      <t>Količina protoka    :  2.6 m</t>
    </r>
    <r>
      <rPr>
        <sz val="10"/>
        <color indexed="8"/>
        <rFont val="Calibri"/>
        <family val="2"/>
        <charset val="238"/>
      </rPr>
      <t>³</t>
    </r>
    <r>
      <rPr>
        <sz val="10"/>
        <color indexed="8"/>
        <rFont val="Arial Narrow"/>
        <family val="2"/>
        <charset val="238"/>
      </rPr>
      <t xml:space="preserve">/h </t>
    </r>
  </si>
  <si>
    <t xml:space="preserve">Visina dobave    : 35 kPa </t>
  </si>
  <si>
    <t>Radni/nazivni tlak : PN6</t>
  </si>
  <si>
    <t>2.2.15.3.</t>
  </si>
  <si>
    <t>Crpka sekundar ventilokonvektori - grijanje/hlađenje</t>
  </si>
  <si>
    <r>
      <t>Količina protoka    :  3.8 m</t>
    </r>
    <r>
      <rPr>
        <sz val="10"/>
        <color indexed="8"/>
        <rFont val="Calibri"/>
        <family val="2"/>
        <charset val="238"/>
      </rPr>
      <t>³</t>
    </r>
    <r>
      <rPr>
        <sz val="10"/>
        <color indexed="8"/>
        <rFont val="Arial Narrow"/>
        <family val="2"/>
        <charset val="238"/>
      </rPr>
      <t xml:space="preserve">/h </t>
    </r>
  </si>
  <si>
    <t xml:space="preserve">Visina dobave    : 55 kPa </t>
  </si>
  <si>
    <t>2.2.15.4.</t>
  </si>
  <si>
    <t>Crpka sekundar radijatorsko toplovodno grijanje</t>
  </si>
  <si>
    <r>
      <t>Količina protoka    :  0.3 m</t>
    </r>
    <r>
      <rPr>
        <sz val="10"/>
        <color indexed="8"/>
        <rFont val="Calibri"/>
        <family val="2"/>
        <charset val="238"/>
      </rPr>
      <t>³</t>
    </r>
    <r>
      <rPr>
        <sz val="10"/>
        <color indexed="8"/>
        <rFont val="Arial Narrow"/>
        <family val="2"/>
        <charset val="238"/>
      </rPr>
      <t xml:space="preserve">/h </t>
    </r>
  </si>
  <si>
    <t xml:space="preserve">Visina dobave    : 25 kPa </t>
  </si>
  <si>
    <t>2.2.15.5.</t>
  </si>
  <si>
    <t>Crpka sekundar SBFR - ventilacija G-H</t>
  </si>
  <si>
    <r>
      <t>Količina protoka    :  0.5 m</t>
    </r>
    <r>
      <rPr>
        <sz val="10"/>
        <color indexed="8"/>
        <rFont val="Calibri"/>
        <family val="2"/>
        <charset val="238"/>
      </rPr>
      <t>³</t>
    </r>
    <r>
      <rPr>
        <sz val="10"/>
        <color indexed="8"/>
        <rFont val="Arial Narrow"/>
        <family val="2"/>
        <charset val="238"/>
      </rPr>
      <t xml:space="preserve">/h </t>
    </r>
  </si>
  <si>
    <t>2.2.16.</t>
  </si>
  <si>
    <r>
      <t>Nabava, doprema i ugradnja elektromotornog on/off ventila za grijanje: • DN50 mm
• PN16 
• Temperatura (-10 …2)*…200 °C
• Kvs 0,25 - 900 m</t>
    </r>
    <r>
      <rPr>
        <sz val="10"/>
        <color theme="1"/>
        <rFont val="Calibri"/>
        <family val="2"/>
        <charset val="238"/>
      </rPr>
      <t>³</t>
    </r>
    <r>
      <rPr>
        <sz val="10"/>
        <color theme="1"/>
        <rFont val="Arial Narrow"/>
        <family val="2"/>
        <charset val="238"/>
      </rPr>
      <t xml:space="preserve">/h
• Mediji voda, voda s glikolom, para
• Navoj / prirubnica
• 2-smjerni                                                                                      • Napajanje 24 / 230 V
• Regulacijski signal modulirajući /3-točkovni
• Raspon brzine 2 - 24 s/mm
• Raspon sile 250 - 5000 N
• Raspon hoda 5,5 - 50 mm
• Sigurnosna funkcija s DIN TUV </t>
    </r>
  </si>
  <si>
    <t>2.2.17.</t>
  </si>
  <si>
    <t>Nabava, doprema i ugradnja ručne ispusne slavine.
Tijelo od mesinga .
Brtve od bezazbestnog materijala.
Pmax. radni: 16 bar.
Tmin-Tmax: -10÷120°C.</t>
  </si>
  <si>
    <t>DN15, PN6</t>
  </si>
  <si>
    <t>2.2.18.</t>
  </si>
  <si>
    <t>Nabava, doprema i ugradnja manometra Ø63 mm, mjernog područja 0...3 bar s pripadajućom slavinom</t>
  </si>
  <si>
    <t>Ø63mm, 0-3 bar, 1/4''</t>
  </si>
  <si>
    <t>2.2.19.</t>
  </si>
  <si>
    <t>Nabava, doprema i ugradnja termometra u mjedenom tuljku za ugradnju u cjevovode razvoda tople vode. Mjerno područje termometra 0...100º C. Vertikalni prikaz skale temperature.</t>
  </si>
  <si>
    <t>2.2.20.</t>
  </si>
  <si>
    <t>Nabava, doprema i ugradnja osjetnika temperature regulacijskog kruga s potrebnim cijevnim navojnim priključcima i potrebnom dodatnom opremom.</t>
  </si>
  <si>
    <t>2.2.21.</t>
  </si>
  <si>
    <t>2.2.22.</t>
  </si>
  <si>
    <t>Nabava, doprema i ugradnja automatskog odzračnog ventila s vertikalnim ispustom i automatskim nepovratnim ventilom</t>
  </si>
  <si>
    <t>DN10, 3/8'', PN6</t>
  </si>
  <si>
    <t>2.2.23.</t>
  </si>
  <si>
    <t>Armirano gumeno crijevo s holenderima za punjenje i pražnjenje sustava centralnog grijanja. Duljina crijeva cca 4 m.</t>
  </si>
  <si>
    <t>DN15 PN10</t>
  </si>
  <si>
    <t xml:space="preserve">2.3. </t>
  </si>
  <si>
    <t xml:space="preserve">CJEVOVODI UNUTAR STROJARNICE </t>
  </si>
  <si>
    <t>2.3.1.</t>
  </si>
  <si>
    <t>Komplet s prodorima cjevovoda kroz građevinske elemente u zaštitnoj cijevi, dvije dimenzije većoj, brtvljenje prodora trajnoelastičnim kitom.</t>
  </si>
  <si>
    <t>Svi dijelovi cjevovoda se izoliraju paronepropusnom termoizolacijom debljine 30 mm instalacija u vanjskom zraku, a 19 mm instalacija unutar strojarnice. Sve sukladno tehničkim propisima za cjevovode i čelične konstrukcije , a sukladno napomenama u predgovoru ovog strojarskog troškovnika.</t>
  </si>
  <si>
    <t>Ø26.9 x 2.65 mm</t>
  </si>
  <si>
    <t>Ø48.3 x 2.6 mm</t>
  </si>
  <si>
    <t>Ø60.3 x 2.9 mm</t>
  </si>
  <si>
    <t>NAPOMENA:
Količine cijevi su navedene paušalno. Obračun prema stvarnom utrošku materijala uz odobrenje nadzornog inženjera</t>
  </si>
  <si>
    <t xml:space="preserve">ZAJEDNIČKE STAVKE </t>
  </si>
  <si>
    <t>2.4.1.</t>
  </si>
  <si>
    <t xml:space="preserve">Nabava, doprema i ugradnja sitnog pomoćnog i montažnog materijala i pribora (elektrode za zavarivanje, kisik, acetilen, brtve, pocinčani vijci i matice, tiplovi, obujmice, tuljci za izolaciju vijaka i matica kod spajanja fazona iz različitih metalnih materijala i ostala standardna roba potrebna za ugradbu). </t>
  </si>
  <si>
    <t>2.4.2.</t>
  </si>
  <si>
    <t>2.4.3.</t>
  </si>
  <si>
    <t>2.4.4.</t>
  </si>
  <si>
    <t>2.4.5.</t>
  </si>
  <si>
    <t>2.4.6.</t>
  </si>
  <si>
    <t>Tlačna proba gotovih instalacija tlakom 5 bar u trajanju 24 sata. Rezultate utvrditi zapisnički.</t>
  </si>
  <si>
    <t>2.4.7.</t>
  </si>
  <si>
    <t>Dilatacijska proba instalacije. Ista se obavlja tako da se instalacija KONTROLIRANO progrije na maksimalnu radnu temperaturu 50° C, ohladi i postupak ponovi te prekontrolira instalacija. Rezultate utvrditi zapisnički.</t>
  </si>
  <si>
    <t>2.4.8.</t>
  </si>
  <si>
    <t>Puštanje instalacije i uređaja u pogon u nazočnosti isporučitelja opreme ili ovlaštenog servisera, podešavanje automatike, regulacija sustava i ostale potrebne radnje do postizanja pune funkcionalnosti.</t>
  </si>
  <si>
    <t>2.4.9.</t>
  </si>
  <si>
    <t>2.4.10.</t>
  </si>
  <si>
    <t>CENTRALNO TOPLOVODNO GRIJANJE</t>
  </si>
  <si>
    <t>CIJEVNA MREŽA RADIJATORSKOG GRIJANJA</t>
  </si>
  <si>
    <t>Polaganje cijevne mreže u cementnom estrihu.</t>
  </si>
  <si>
    <t>3.1.1.</t>
  </si>
  <si>
    <t xml:space="preserve">CIJEVNA MREŽA GRIJANJA </t>
  </si>
  <si>
    <t>Cijevi</t>
  </si>
  <si>
    <t>1</t>
  </si>
  <si>
    <t>Cijev za grijanje 25x3,5 kolut 25m</t>
  </si>
  <si>
    <t>Cijev za grijanje 20x2,8 kolut 120m</t>
  </si>
  <si>
    <t>Dodaci cjevne mreže</t>
  </si>
  <si>
    <t>Cijevna vodilica voda/grijanje 5 x d, 90 St. 20</t>
  </si>
  <si>
    <t>Cijevna vodilica voda/grijanje 5 x d, 90 St. 25</t>
  </si>
  <si>
    <t>Fitinzi</t>
  </si>
  <si>
    <t>Koljeno-spojnica 20</t>
  </si>
  <si>
    <t>Koljeno-spojnica 25</t>
  </si>
  <si>
    <t>T-komad 20-20-20</t>
  </si>
  <si>
    <t>T-komad 25-25-25</t>
  </si>
  <si>
    <t>Redukcija 25&gt;20</t>
  </si>
  <si>
    <t>Navlake</t>
  </si>
  <si>
    <t>Pomična navlaka 20 x 2,8</t>
  </si>
  <si>
    <t>Pomična navlaka 25 x 3,5</t>
  </si>
  <si>
    <t>Dodaci radijatora</t>
  </si>
  <si>
    <t>Kutna radijat.priključna garnitura 16/250 mm</t>
  </si>
  <si>
    <t>Kutna radijat.priključna garnitura 16/1000 mm</t>
  </si>
  <si>
    <t>Set priključnog holender spoja G 3/4 - 15</t>
  </si>
  <si>
    <t>Set priključnih nipela G 1/2 x G 3/4</t>
  </si>
  <si>
    <t>RADIJATORI I PRATEĆA OPREMA</t>
  </si>
  <si>
    <t>dolje navedene stavke obuhvaćaju nabavu, dopremu i montažu predmetne opreme do postizanja pune funkcionalnosti stavki</t>
  </si>
  <si>
    <t>3.2.1.</t>
  </si>
  <si>
    <t>Oprema radijatora: Svaki radijator opremljen je sistemom za učvršćenje na zid (konzole, nosači, odstojnici). U komplet uračunati i priključke radijatora iz zida  pomoću kutne priključne garniture od plemenitog čelika ili bakra sukladnih dimenzija.</t>
  </si>
  <si>
    <t>Boje radijatora:</t>
  </si>
  <si>
    <t xml:space="preserve">nanesena na površinu radijatora. Standardna boja je bijela, RAL 9016. </t>
  </si>
  <si>
    <t>Veličine radijatora: spojevi na radijatorima 4xG1/2, probni pritisak  13 bar, max. radni pritisak  10 bar, max. radna temp.  110 °C.</t>
  </si>
  <si>
    <t>- Temeljna boja prema DIN 55900 dio 1 pečena na 190 °C</t>
  </si>
  <si>
    <t>- Završna boja prema DIN 55900 dio 2 u RAL 9016. Završna boja elektrostatski</t>
  </si>
  <si>
    <t>Radijatori</t>
  </si>
  <si>
    <t>22K 400/600/105</t>
  </si>
  <si>
    <t>22K 600/600/105</t>
  </si>
  <si>
    <t>22K 720/600/105</t>
  </si>
  <si>
    <t>Termostatski ventili</t>
  </si>
  <si>
    <t xml:space="preserve">3.2.2. </t>
  </si>
  <si>
    <t>3.2.2.</t>
  </si>
  <si>
    <t>Termostatska glava radijatorskog ventila iz stavke 3.2.2.</t>
  </si>
  <si>
    <t>DN10</t>
  </si>
  <si>
    <t>3.2.3.</t>
  </si>
  <si>
    <t>Radijatorski vijčani navijak, zatvarajući</t>
  </si>
  <si>
    <t>3.2.4.</t>
  </si>
  <si>
    <t>Slavina za ispust vode iz radijatora</t>
  </si>
  <si>
    <t>3.2.5.</t>
  </si>
  <si>
    <t>Radijatorski odzračni pipac</t>
  </si>
  <si>
    <t>3.2.6.</t>
  </si>
  <si>
    <t>Automatski odzračni ventil za sustav centralnog grijanja. Montaža na polazni i povratni cjevovod unutar kotlovnice</t>
  </si>
  <si>
    <t>CIJEVNA MREŽA VENTILOKONVEKTORSKOG GRIJANJA / HLAĐENJA</t>
  </si>
  <si>
    <t>Polaganje cijevne mreže u u cementnom estrihu do dimenzije DN32. Preko dimenzije DN32 cijevi razvod se polaže u spuštenom stropu.</t>
  </si>
  <si>
    <t>3.3.1.</t>
  </si>
  <si>
    <t>Cijevna mreža</t>
  </si>
  <si>
    <t>Univerzalna cijev 50 x 6,9 šipka 6 m</t>
  </si>
  <si>
    <t>Univerzalna cijev 40 x 5,5 šipka 6 m</t>
  </si>
  <si>
    <t>Univerzalna cijev 32 x 4,4 kolut 25 m</t>
  </si>
  <si>
    <t>Univerzalna cijev 25 x 3,5 kolut 25 m</t>
  </si>
  <si>
    <t>Univerzalna cijev 63 x 8,6 šipka 6 m</t>
  </si>
  <si>
    <t>Reducirana spojnica 32-25</t>
  </si>
  <si>
    <t>Reducirana spojnica 40-32</t>
  </si>
  <si>
    <t>Reducirana spojnica 50-40</t>
  </si>
  <si>
    <t>Reducirana spojnica 50-25</t>
  </si>
  <si>
    <t>Reducirana spojnica 50-32</t>
  </si>
  <si>
    <t>Reducirana spojnica 63-50</t>
  </si>
  <si>
    <t>Kutnik 25, 90°</t>
  </si>
  <si>
    <t>Kutnik 32, 90°</t>
  </si>
  <si>
    <t>Kutnik 50, 90°</t>
  </si>
  <si>
    <t>Kutnik 63, 90°</t>
  </si>
  <si>
    <t>Redukcijski T-komad: 32 - 32 - 25</t>
  </si>
  <si>
    <t xml:space="preserve">Redukcijski T-komad: 32 - 32 -32 </t>
  </si>
  <si>
    <t>Redukcijski T-komad: 40 - 40 - 25</t>
  </si>
  <si>
    <t>Redukcijski T-komad: 40 - 40 - 32</t>
  </si>
  <si>
    <t>Redukcijski T-komad: 50 - 50 - 25</t>
  </si>
  <si>
    <t>Redukcijski T-komad: 50 - 50 - 50</t>
  </si>
  <si>
    <t>Redukcijski T-komad: 25 - 63 - 63</t>
  </si>
  <si>
    <t>Redukcijski T-komad: 63 - 63 - 63</t>
  </si>
  <si>
    <t>Pomična navlaka 32 x 4,4</t>
  </si>
  <si>
    <t>Pomična navlaka 40 x 5,5</t>
  </si>
  <si>
    <t>Pomična navlaka 50 x 6,9</t>
  </si>
  <si>
    <t>Pomična navlaka 63 x 8,6</t>
  </si>
  <si>
    <t>3.3.2.</t>
  </si>
  <si>
    <t>Nabava doprema i ugradnja bakrenih cijevi za odvod kondenzata sa svim pripadajućim fitinzima do postizanja pune funkcionalnosti stavke.</t>
  </si>
  <si>
    <t>Cu 18 x 1</t>
  </si>
  <si>
    <t>Sifon za kondenzat DN 20, komplet s revizijskim ormarićem i vratašcima.</t>
  </si>
  <si>
    <t>CIJEVNA MREŽA VENTILOKONV. GRIJANJA / HLAĐENJA</t>
  </si>
  <si>
    <t>VENTILOKONVEKTORSKO GRIJANJE/HLAĐENJE</t>
  </si>
  <si>
    <t>dolje navedene stavke obuhvaćaju nabavu, dopremu i montažu predmetne opreme do postizanja pune funkcionalnosti stavki. Cijenom obuhvatiti i ostalu opremu koja eventualno nije navedena, a koja je sastavni dio isporuke proizvođača opreme.</t>
  </si>
  <si>
    <t>3.4.1.</t>
  </si>
  <si>
    <t>2</t>
  </si>
  <si>
    <t xml:space="preserve">3.5. </t>
  </si>
  <si>
    <t>ZAJEDNIČKE STAVKE SUSTAVA GRIJANJA/HLAĐENJA</t>
  </si>
  <si>
    <t>3.5.1.</t>
  </si>
  <si>
    <t>3.5.2.</t>
  </si>
  <si>
    <t>3.5.3.</t>
  </si>
  <si>
    <t>3.5.4.</t>
  </si>
  <si>
    <t>3.5.5.</t>
  </si>
  <si>
    <t>3.5.6.</t>
  </si>
  <si>
    <t>3.5.7.</t>
  </si>
  <si>
    <t>Tlačna proba gotovih instalacija grijanja tlakom 5 bar u trajanju 24 sata. Rezultate utvrditi zapisnički.</t>
  </si>
  <si>
    <t>3.5.8.</t>
  </si>
  <si>
    <t>Dilatacijska proba instalacije. Ista se obavlja tako da se instalacija KONTROLIRANO progrije na maksimalnu radnu temperaturu 45º C (radijatorsko grijanje) i 45°C (ventilokonvektorsko grijanje), ohladi i postupak ponovi te prekontrolira instalacija. Rezultate utvrditi zapisnički.</t>
  </si>
  <si>
    <t>3.5.9.</t>
  </si>
  <si>
    <t>Puštanje instalacije u pogon u nazočnosti isporučitelja opreme ili ovlaštenog servisera, podešavanje automatike, regulacija sustava i ostale potrebne radnje do postizanja pune funkcionalnosti.</t>
  </si>
  <si>
    <t>3.5.10.</t>
  </si>
  <si>
    <t>3.5.11.</t>
  </si>
  <si>
    <t>VENTILACIJA</t>
  </si>
  <si>
    <t>Cijena obuhvaća nabavu, dopremu i ugradnju specificirane opreme i cjevovoda. Cijenom je potrebno obuhvatiti sve radove do potpunog kompletiranja svake pojedine stavke i osiguranja pune funkcionalnosti sustava.</t>
  </si>
  <si>
    <t>VENTILACIJA S REKUPERACIJOM</t>
  </si>
  <si>
    <t>4.1.1.</t>
  </si>
  <si>
    <t xml:space="preserve">SIC ventilacijska jedinica horizontalne izvedbe sa pločastim rekuperatorom sa ugrađenim bypassom, filterima na tlaku i odsisu, tlačnim i odsisnim ventilatorima, elektronskim ekspanzijskim ventilom te svim potrebnim elementima za zaštitu, kontrolu i regulaciju uređaja i temperature. Uređaj se isporučujedodatno s: </t>
  </si>
  <si>
    <t xml:space="preserve">* odjeljkom za miješanje zraka s 3 motorne zaklopke (RMS), </t>
  </si>
  <si>
    <t xml:space="preserve">* uređajem za upravljanje zaklopki (SMR), </t>
  </si>
  <si>
    <t xml:space="preserve">* termostatom protiv smrzavanja (ATG), </t>
  </si>
  <si>
    <t xml:space="preserve">* senzorom CO₂ (QSA) </t>
  </si>
  <si>
    <t>* digitalnom kontrolom zraka (AQC).</t>
  </si>
  <si>
    <t>* ostala oprema do pune funkcionalnosti stavke</t>
  </si>
  <si>
    <r>
      <t>Tehnički podaci za uvjete:
Tv = -5°C DB, 80% RH
Tp = 20°C DB, 50% RH
Tv= 32°C DB, 50% RH
Tp = 26°C DB, 50% RH
VZ = 2050 m</t>
    </r>
    <r>
      <rPr>
        <sz val="10"/>
        <rFont val="Calibri"/>
        <family val="2"/>
        <charset val="238"/>
      </rPr>
      <t>³</t>
    </r>
    <r>
      <rPr>
        <sz val="10"/>
        <rFont val="Arial Narrow"/>
        <family val="2"/>
        <charset val="238"/>
      </rPr>
      <t xml:space="preserve">/h
ESP = 535 Pa
Dimenzije: 2200 x 1400 mm ; h = 550 mm
Težina: 200 kg
N = 230 V - 50 Hz
</t>
    </r>
  </si>
  <si>
    <t>Ventilacijska jedinica horizontalne izvedbe sa pločastim rekuperatorom sa ugrađenim bypassom, filterima na tlaku i odsisu, tlačnim i odsisnim ventilatorima, te svim potrebnim elementima za zaštitu, kontrolu i regulaciju uređaja i temperature. Uređaj se povezuje na kompletan termotehnički sustav i centralni regulator.</t>
  </si>
  <si>
    <t>4.1.2.</t>
  </si>
  <si>
    <t xml:space="preserve">
Tehnički podaci: Q = 0.5 m³/h, Δp = 32 kPa, Dimenzije: 700 x 550 mm ; h = 720 mm, 
Težina: 24 kg, N = 230 V - 50 Hz</t>
  </si>
  <si>
    <t>4.1.3.</t>
  </si>
  <si>
    <t>Elementi automatske regulacije u polju za osiguravanje funkcije by-pass na sustavu</t>
  </si>
  <si>
    <t>kanalni protusmrzavajući termostat -10 ÷ +10 ºC</t>
  </si>
  <si>
    <t>4.1.4.</t>
  </si>
  <si>
    <t xml:space="preserve">Nabava, doprema i ugradnja limenog ventilacijskog kanala (spiralno namotanog) za dovod - odvod zraka izveden od Al lima, s prirubnicama, vijcima, maticama i zavješenjima
</t>
  </si>
  <si>
    <t xml:space="preserve">Kompletan cjevovodni sustav  se izrađuje iz spiro cijevi izrađenih iz pocinčane beskonačne trake, normalnim N falcanjem, tako da je glatka s unutrašnje strane. Cijevi se isporučuju u dužinama od 6m. </t>
  </si>
  <si>
    <t>U isporuku je uključena odgovarajuća količina spojnica za spajanje ravnih dionica međusobno, kao i fazonskih komada, ovjesi, konzole, oslonci i sl. Komplet s potrebnim cijevnim i fazonskim komadima (Q-komadi, redukcije itd.), obujmicama i ostalom potrebnom opremom do postizanja pune funkcionalnosti stavke.</t>
  </si>
  <si>
    <t>4.1.4.1.</t>
  </si>
  <si>
    <t xml:space="preserve">Primarna strana rekuperatora </t>
  </si>
  <si>
    <t>CIJEVI</t>
  </si>
  <si>
    <t>Ø400 mm</t>
  </si>
  <si>
    <t>FITINZI</t>
  </si>
  <si>
    <t>Q90° Ø400 mm</t>
  </si>
  <si>
    <t>Ostali fazonski komadi i spojnice (obračun po m' cjevovoda)</t>
  </si>
  <si>
    <t>Točan predmjer materijala i radova za ovu stavku će biti dostupan nakon izrade izvedbenog projekta.</t>
  </si>
  <si>
    <t>4.1.4.2.</t>
  </si>
  <si>
    <t xml:space="preserve">Sekundarna strana rekuperatora </t>
  </si>
  <si>
    <t>Duljina kanala</t>
  </si>
  <si>
    <t>Limeni kanali Ø355</t>
  </si>
  <si>
    <t>Limeni kanali Ø280</t>
  </si>
  <si>
    <t>3</t>
  </si>
  <si>
    <t>Limeni kanali Ø250</t>
  </si>
  <si>
    <t>4</t>
  </si>
  <si>
    <t>Limeni kanali Ø224</t>
  </si>
  <si>
    <t>5</t>
  </si>
  <si>
    <t>Limeni kanali Ø200</t>
  </si>
  <si>
    <t>6</t>
  </si>
  <si>
    <t>Limeni kanali Ø150</t>
  </si>
  <si>
    <t>7</t>
  </si>
  <si>
    <t>Limeni kanali Ø140</t>
  </si>
  <si>
    <t>8</t>
  </si>
  <si>
    <t>Limeni kanali Ø125</t>
  </si>
  <si>
    <t>9</t>
  </si>
  <si>
    <t>Limeni kanali Ø112</t>
  </si>
  <si>
    <t>10</t>
  </si>
  <si>
    <t>Limeni kanali Ø100</t>
  </si>
  <si>
    <t>koljeno 90°, Ø355</t>
  </si>
  <si>
    <t>koljeno 90°, Ø280</t>
  </si>
  <si>
    <t>koljeno 90°, Ø200</t>
  </si>
  <si>
    <t>koljeno 90°, Ø150</t>
  </si>
  <si>
    <t>koljeno 90°, Ø125</t>
  </si>
  <si>
    <t>koljeno 90°, Ø112</t>
  </si>
  <si>
    <t>koljeno 90°, Ø100</t>
  </si>
  <si>
    <t>T-komad Ø355</t>
  </si>
  <si>
    <t>T-komad Ø280</t>
  </si>
  <si>
    <t>T-komad Ø250</t>
  </si>
  <si>
    <t>11</t>
  </si>
  <si>
    <t>T-komad Ø224</t>
  </si>
  <si>
    <t>12</t>
  </si>
  <si>
    <t>T-komad Ø200</t>
  </si>
  <si>
    <t>13</t>
  </si>
  <si>
    <t>T-komad Ø140</t>
  </si>
  <si>
    <t>14</t>
  </si>
  <si>
    <t>T-komad Ø125</t>
  </si>
  <si>
    <t>15</t>
  </si>
  <si>
    <t>T-komad Ø112</t>
  </si>
  <si>
    <t>16</t>
  </si>
  <si>
    <t>Redukcija Ø112/Ø100</t>
  </si>
  <si>
    <t>17</t>
  </si>
  <si>
    <t>Redukcija Ø140/Ø100</t>
  </si>
  <si>
    <t>18</t>
  </si>
  <si>
    <t>Redukcija Ø140/Ø112</t>
  </si>
  <si>
    <t>19</t>
  </si>
  <si>
    <t>Redukcija Ø140/Ø125</t>
  </si>
  <si>
    <t>20</t>
  </si>
  <si>
    <t>Redukcija Ø125/Ø200</t>
  </si>
  <si>
    <t>21</t>
  </si>
  <si>
    <t>Redukcija Ø200/Ø140</t>
  </si>
  <si>
    <t>22</t>
  </si>
  <si>
    <t>Redukcija Ø200/Ø150</t>
  </si>
  <si>
    <t>23</t>
  </si>
  <si>
    <t>Redukcija Ø200/Ø224</t>
  </si>
  <si>
    <t>24</t>
  </si>
  <si>
    <t>Redukcija Ø250/Ø125</t>
  </si>
  <si>
    <t>25</t>
  </si>
  <si>
    <t>Redukcija Ø250/Ø140</t>
  </si>
  <si>
    <t>26</t>
  </si>
  <si>
    <t>Redukcija Ø200/Ø250</t>
  </si>
  <si>
    <t>27</t>
  </si>
  <si>
    <t>Redukcija Ø250Ø224</t>
  </si>
  <si>
    <t>28</t>
  </si>
  <si>
    <t>Redukcija Ø112/Ø280</t>
  </si>
  <si>
    <t>29</t>
  </si>
  <si>
    <t>Redukcija Ø125/Ø280</t>
  </si>
  <si>
    <t>30</t>
  </si>
  <si>
    <t>Redukcija Ø280/Ø250</t>
  </si>
  <si>
    <t>31</t>
  </si>
  <si>
    <t>Redukcija Ø250/Ø355</t>
  </si>
  <si>
    <t>Elementi distribucije zraka</t>
  </si>
  <si>
    <t>Rešetka za dovod svježeg i odvod otpadnog zraka. Tehničke karakteristike:</t>
  </si>
  <si>
    <r>
      <t>a x b= 225x75 mm, Q=60 m</t>
    </r>
    <r>
      <rPr>
        <sz val="10"/>
        <rFont val="Calibri"/>
        <family val="2"/>
        <charset val="238"/>
      </rPr>
      <t>³</t>
    </r>
    <r>
      <rPr>
        <sz val="10"/>
        <rFont val="Arial Narrow"/>
        <family val="2"/>
        <charset val="238"/>
      </rPr>
      <t>/h, Δp=10 Pa pri 100% otvoreno</t>
    </r>
  </si>
  <si>
    <r>
      <t>a x b= 225x125 mm, Q=85 m</t>
    </r>
    <r>
      <rPr>
        <sz val="10"/>
        <rFont val="Calibri"/>
        <family val="2"/>
        <charset val="238"/>
      </rPr>
      <t>³</t>
    </r>
    <r>
      <rPr>
        <sz val="10"/>
        <rFont val="Arial Narrow"/>
        <family val="2"/>
        <charset val="238"/>
      </rPr>
      <t>/h, Δp=10 Pa pri 100% otvoreno</t>
    </r>
  </si>
  <si>
    <t>a x b= 325x125 mm, Q=160 m³/h, Δp=10 Pa pri 100% otvoreno</t>
  </si>
  <si>
    <t>a x b= 325x225 mm, Q=200 m³/h, Δp=10 Pa pri 100% otvoreno</t>
  </si>
  <si>
    <t>a x b= 425x125 mm, Q=200-280 m³/h, Δp=10 Pa pri 100% otvoreno</t>
  </si>
  <si>
    <t>Točan predmjer materijala i radova prema stvarnom stanju. Potvrđuje nadzorni inženjer prema dokaznici mjera Izvođača.</t>
  </si>
  <si>
    <t>4.1.5.</t>
  </si>
  <si>
    <t>Nabava, doprema i ugradnja cilindrične regulacijske zaklopke na motorni pogon za regulaciju protoka zraka u kanalima okruglog presjeka. Montira se na kanalskom odvojku unutarnje rešetke za distribuciju zraka sa svrhom mogućnosti reguliranja ventilacijskog sustava.</t>
  </si>
  <si>
    <t>Izrađeno iz pocinčanog lima, samokočivi regulacijski mehanizam, motorni pogon.</t>
  </si>
  <si>
    <t>Ø100</t>
  </si>
  <si>
    <t>Ø125</t>
  </si>
  <si>
    <t>Ø150</t>
  </si>
  <si>
    <t>Ø200</t>
  </si>
  <si>
    <t>4.1.6.</t>
  </si>
  <si>
    <t>Kanalski tipski prigušivač zvuka namijenjen za smanjenje buke u ventiliranim prostorima. Prigušna kulisa iz negorivog apsorpcijskog materijala. Kućište iz ZnČ lima.</t>
  </si>
  <si>
    <r>
      <t>Dimenzije Ø355 mm, Q=1800 m</t>
    </r>
    <r>
      <rPr>
        <sz val="10"/>
        <rFont val="Calibri"/>
        <family val="2"/>
        <charset val="238"/>
      </rPr>
      <t>³</t>
    </r>
    <r>
      <rPr>
        <sz val="10"/>
        <rFont val="Arial Narrow"/>
        <family val="2"/>
        <charset val="238"/>
      </rPr>
      <t>/h, Δp=5 Pa</t>
    </r>
  </si>
  <si>
    <t>Prigušenje 11dB pri 250Hz</t>
  </si>
  <si>
    <t>4.1.7.</t>
  </si>
  <si>
    <t>Protupožarna zaklopka za zaštitu od požara u trajanju 90 minuta za automatsko zatvaranje protoka zraka kod nastanka požara. Za ugradnju u pravokutni ventilacijski kanal na granici požarnih zona.</t>
  </si>
  <si>
    <t>Aktiviranje zaklopke daljinsko posredstvom vatrodojavnog sustava. S ugradnjom krajnjih kontakata za označavanje položaja zaporne lamele sa svrhom daljinske signalizacije.</t>
  </si>
  <si>
    <t>Kućište iz pocinčanog čeličnog lima, zaporna lamela iz toplinski izolirajućeg bezazbestnog materijala, brtva iz negorivog materijala. Protupožarna stabilnost K90</t>
  </si>
  <si>
    <t>Ø250</t>
  </si>
  <si>
    <t>Ø280</t>
  </si>
  <si>
    <t>4.1.8.</t>
  </si>
  <si>
    <t>Kanalski termostat za montažu na sekundarnim kanalima svježeg i otpadnog zraka. Komplet s potrebnim pričvrsnim elementima i ostalom opremom do postizanja pune funkcionalnosti pozicije.</t>
  </si>
  <si>
    <t>OSTALI MATERIJAL I RADOVI</t>
  </si>
  <si>
    <t>4.2.1.</t>
  </si>
  <si>
    <t>Nabava, doprema i ugradnja sitnog pomoćnog i montažnog materijala i pribora ( brtvila, elastične spojnice, vijci i matice, tiplovi, držači, cijevne obujmice, tuljci za izolaciju vijaka i matica kod spajanja fazona iz različitih metalnih materijala i ostala standardna roba potrebna za ugradbu).</t>
  </si>
  <si>
    <t xml:space="preserve">NAPOMENA: Završni obračun stavke prema dokazima o stvarnom utrošku što potvrđuje nadzorni inženjer.  </t>
  </si>
  <si>
    <t>4.2.2.</t>
  </si>
  <si>
    <t xml:space="preserve">Izrada radioničkih pozicija, detaljnih uputa za rad i održavanje postrojenja s tehnološkom shemom  </t>
  </si>
  <si>
    <t>4.2.3.</t>
  </si>
  <si>
    <t>4.2.4.</t>
  </si>
  <si>
    <t>4.2.5.</t>
  </si>
  <si>
    <t>4.2.6.</t>
  </si>
  <si>
    <t>4.2.7.</t>
  </si>
  <si>
    <t>4.2.8.</t>
  </si>
  <si>
    <t>HLAĐENJE SERVER ORMARA</t>
  </si>
  <si>
    <t>Ovim troškovnikom nisu uzeti u obzir nikakvi elektro-radovi niti oprema.</t>
  </si>
  <si>
    <t xml:space="preserve">Cijenom je potrebno obuhvatiti sve strojarske radove i opremu do potpunog kompletiranja svake pojedine stavke. </t>
  </si>
  <si>
    <t xml:space="preserve">OPREMA </t>
  </si>
  <si>
    <t>5.1.1.</t>
  </si>
  <si>
    <t>Nabava, doprema i ugradnja centralne regulacijske jedinice termotehničkog sustava, komplet s odgovarajućom opremom, kabela za spajanje strojarske opreme, metalnih cijevi za zaštitu kabela za spajanje strojarske opreme, kanalica i ostale opreme automatike do postizanja pune funkcionalnosti stavke).</t>
  </si>
  <si>
    <t>Vođenje rada sukladno zahtjevima RACK-a servera</t>
  </si>
  <si>
    <t>5.1.2.</t>
  </si>
  <si>
    <t>Ostala oprema i radovi do postizanja pune funkcionalnosti SVIH stavki.</t>
  </si>
  <si>
    <t xml:space="preserve">CIJEVNA MREŽA </t>
  </si>
  <si>
    <t>5.2.1.</t>
  </si>
  <si>
    <t>Predizolirane bakrene cijevi u kolutu za freonsku instalaciju plinske i tekuće faze namjenjene za rashladni medij R-410A . U kompletu sa spojnicama i koljenima, spojnim i pričvrsnim materijalom. Cijevi moraju biti odmašćene, očišćene i osušene prije ugradnje.</t>
  </si>
  <si>
    <t>5.2.1.1.</t>
  </si>
  <si>
    <t xml:space="preserve"> Φ 12.7 mm</t>
  </si>
  <si>
    <t>5.2.1.2.</t>
  </si>
  <si>
    <t xml:space="preserve"> Φ 19.1 mm</t>
  </si>
  <si>
    <t xml:space="preserve">Komplet sa svim potrebnim spojnim i fazonskim komadima, spojnicama, redukcijama, itd. </t>
  </si>
  <si>
    <t>5.2.2.</t>
  </si>
  <si>
    <t>Predvidjeti mogućnost naknadne ugradnje pumpica kondenzata naLCP jedinicu.</t>
  </si>
  <si>
    <t xml:space="preserve"> Φ 18 x 1 mm</t>
  </si>
  <si>
    <t>5.2.3.</t>
  </si>
  <si>
    <t>Nabava, doprema i ugradnja sifona za kondenzat DN 20, komplet s revizijskim ormarićem i vratašcima. Ugradnja u zid.</t>
  </si>
  <si>
    <t>5.2.4.</t>
  </si>
  <si>
    <t>5.3.1.</t>
  </si>
  <si>
    <t>5.3.2.</t>
  </si>
  <si>
    <t xml:space="preserve">Izrada i montaža čelične nosive podkonstrukcije vanjske jedinice, odgovarajućih dimenzija, iz odgovarajućih antikorozijski zaštićenih čeličnih profila. </t>
  </si>
  <si>
    <t>Podkonstrukcija vanjske jedinice se zavarivanjem veže na osnovnu konstrukciju zida.</t>
  </si>
  <si>
    <t>5.3.3.</t>
  </si>
  <si>
    <t>Tlačna proba instalacije bez priključenih armatura. Ispitivanje zrakom ili inertnim plinom. Rezultati tlačne probe se upisuju komisijski u očevidnik.</t>
  </si>
  <si>
    <t xml:space="preserve">Prethodno ispitivanje se vrši tlakom 3 bar u vremenu 3 minute. </t>
  </si>
  <si>
    <t>Nakon toga slijedi ispitivanje na 15 bar također u vremenu 3 minute.</t>
  </si>
  <si>
    <t>Završno ispitivanje tlakom 40 bar/24 sata</t>
  </si>
  <si>
    <t>5.3.4.</t>
  </si>
  <si>
    <t>5.3.5.</t>
  </si>
  <si>
    <t>5.3.6.</t>
  </si>
  <si>
    <t>5.3.7.</t>
  </si>
  <si>
    <t>Prateći građevinski radovi uz strojarske radove, a koji uključuju: bušenje prodora za prolaz instalacija, usijecanje instalacijskih koridora, zatvaranje i obrada oštećenih građevinskih elemenata i sl.</t>
  </si>
  <si>
    <t>5.3.8.</t>
  </si>
  <si>
    <t xml:space="preserve">         1.1. IZGRADNJA NOVOG PLINSKOG PRIKLJUČKA</t>
  </si>
  <si>
    <t xml:space="preserve">         1.2. UNUTARNJA PLINSKA INSTALACIJA</t>
  </si>
  <si>
    <t xml:space="preserve">         1.3. ZAJEDNIČKE STAVKE</t>
  </si>
  <si>
    <t xml:space="preserve">         2.1. DIZALICA TOPLINE I PRATEĆA </t>
  </si>
  <si>
    <t xml:space="preserve">               OPREMA</t>
  </si>
  <si>
    <t xml:space="preserve">         2.2  OPREMA STROJARNICE</t>
  </si>
  <si>
    <t xml:space="preserve">         2.3. CJEVOVODI UNUTAR STROJARNICE </t>
  </si>
  <si>
    <t xml:space="preserve">         2.4. ZAJEDNIČKE STAVKE</t>
  </si>
  <si>
    <t xml:space="preserve">         3.1  CIJEVNA MREŽA RADIJATORSKOG GRIJANJA</t>
  </si>
  <si>
    <t xml:space="preserve">         3.2. RADIJATORI I PRATEĆA OPREMA</t>
  </si>
  <si>
    <t xml:space="preserve">         3.3  CIJEVNA MREŽA VENTILOKONVEKTROSKOG </t>
  </si>
  <si>
    <t xml:space="preserve">               GRIJANJA</t>
  </si>
  <si>
    <t xml:space="preserve">         3.4. VENTILOKONVEKTORSKO </t>
  </si>
  <si>
    <t xml:space="preserve">               GRIJANJE/HLAĐENJE</t>
  </si>
  <si>
    <t xml:space="preserve">         3.5. ZAJEDNIČKE STAVKE SUSTAVA </t>
  </si>
  <si>
    <t xml:space="preserve">               GRIJANJA/HLAĐENJA</t>
  </si>
  <si>
    <t xml:space="preserve">         4.1. VENTILACIJA S REKUPERACIJOM</t>
  </si>
  <si>
    <t xml:space="preserve">         4.2. OSTALI MATERIJAL I RADOVI</t>
  </si>
  <si>
    <t xml:space="preserve">         5.1. OPREMA </t>
  </si>
  <si>
    <t xml:space="preserve">         5.2. CIJEVNA MREŽA</t>
  </si>
  <si>
    <t>Cijena uključuje isporuku dijelova postrojenja*  prema popisu (točka 2):</t>
  </si>
  <si>
    <t>Cijena uključuje ugradnju opreme:</t>
  </si>
  <si>
    <t>Cijana uključuje ostale radove:</t>
  </si>
  <si>
    <t>Cijena uključuje izradu izvedbenu dokumentacija*:</t>
  </si>
  <si>
    <t>Cijena uključuje tehnički pregled dizala*</t>
  </si>
  <si>
    <t>Sva projektirana, isporučena i ugrađena oprema postrojenja dizala mora odgovarati:</t>
  </si>
  <si>
    <t>Uputa za popunjavanje tablica:</t>
  </si>
  <si>
    <r>
      <t xml:space="preserve">Stupce označene žutom bojom popunjava </t>
    </r>
    <r>
      <rPr>
        <b/>
        <sz val="10"/>
        <color theme="1"/>
        <rFont val="Arial"/>
        <family val="2"/>
        <charset val="238"/>
      </rPr>
      <t xml:space="preserve">Ponuditelj </t>
    </r>
    <r>
      <rPr>
        <sz val="10"/>
        <color theme="1"/>
        <rFont val="Arial"/>
        <family val="2"/>
        <charset val="238"/>
      </rPr>
      <t xml:space="preserve">sa ponuđenim </t>
    </r>
    <r>
      <rPr>
        <b/>
        <sz val="10"/>
        <color theme="1"/>
        <rFont val="Arial"/>
        <family val="2"/>
        <charset val="238"/>
      </rPr>
      <t>tipom opreme i/ili kataloškim brojem i/ili nardužbenom oznakom i proizvođačem</t>
    </r>
  </si>
  <si>
    <t>Popunjava ponuditelj</t>
  </si>
  <si>
    <t>Dobava, montaža i spajanje komunikacijskog ormara za sučelje vanjske širokodostupne mreže u prostoru stubišta. Obuhvaćena je sva pasivna oprema (komunikacijsko-difuzijski ormar i univerzalno strukturno kabliranje za  ICT i BCT usluge). ENI je predviđen kao ugradni limeni ormarić sa neprozirnim vratima, otvorima za prirodnu ventilaciju, veličine (v)800 x (š)550 x (d)150 u koji je ugrađena slijedeća oprema:</t>
  </si>
  <si>
    <t>Opći podaci
- Plinski priključak na strani uređaja: 15 mm
- Priključci polaznog i povratnog voda: 22 mm
- Priključak polaznog voda grijanja (spremnik): Ø15 mm
- Priključak povratnog voda grijanja (spremnik): Ø15 mm
- Priključna cijev sigurnosnog ventila: 15 mm (min.)
- Priključak za dovod zraka / odvod dimnih plinova: 60/100 mm
- Vod za odvod kondenzata: 19 mm (min.)
- Protočni tlak zemnog plina G20: 20 mbar
- Protočni tlak propana G31: 30 mbar
- Vrijednost priključka pri 15 °C i 1013 mbar, G20: 3,7 m³/h
- Vrijednost priključka pri 15 °C i 1013 mbar, G31: 2,7 kg/h
- Min. temperatura dimnih plinova: 40 °C
- Maks. temperatura dimnih plinova: 79 °C
- Klasa NOx: 5
- Širina uređaja: 440 mm
- Visina uređaja: 720 mm
- Dubina uređaja: 372 mm
- Približna neto težina: 36,9 kg
- Električni priključak: 230 V / 50 Hz
- Dopušteni napon priključka: 190 - 253 V
- Ugrađeni tromi osigurač: 2 A
- Min. potrošnja električne struje: 35 W
- Maks. potrošnja električne struje: 80 W
- Potrošnja električne struje standby: &amp;lt; 2 W
- Stupanj zaštite: IP X4 D
Razred energetske učinkovitosti na grijanju: A</t>
  </si>
  <si>
    <t>Strojarski radovi</t>
  </si>
  <si>
    <t>Elektro instalatetrski radovi</t>
  </si>
  <si>
    <t>GRUPA 1. GRAĐEVINSKO - OBRTNIČKI RADOVI</t>
  </si>
  <si>
    <t>GRUPA 2. VODOVOD I KANALIZACIJA</t>
  </si>
  <si>
    <t>GRUPA 3. NISKOGRADNJA</t>
  </si>
  <si>
    <t>GRUPA 4. STROJARSKI RADOVI - GRIJANJE, HLAĐENJE, VENTILACIJA</t>
  </si>
  <si>
    <t>GRUPA 5. ELEKTRO INSTALATERSKI RADOVI</t>
  </si>
  <si>
    <t>GRUPA 6. IT OPREMA I SUSTAVI</t>
  </si>
  <si>
    <t>GRUPA 8. LIFT</t>
  </si>
  <si>
    <t>po GRUPAMA:</t>
  </si>
  <si>
    <r>
      <t>Kondenzacijski cirkulacijski zidni uređaj ecoTEC plus VU INT I 306/5-5</t>
    </r>
    <r>
      <rPr>
        <b/>
        <sz val="10"/>
        <color rgb="FF000000"/>
        <rFont val="Arial Narrow"/>
        <family val="2"/>
        <charset val="238"/>
      </rPr>
      <t xml:space="preserve"> ili jednakovrijedan</t>
    </r>
    <r>
      <rPr>
        <sz val="10"/>
        <color rgb="FF000000"/>
        <rFont val="Arial Narrow"/>
        <family val="2"/>
        <charset val="238"/>
      </rPr>
      <t>, visoki stupanj iskoristivosti kondenzacijske tehnologije (108 %), niska emisija štetnih tvari i buke sukladno smjernicama Europske unije „ErP“, nova generacija izotermičkog primarnog izmjenjivača od legiranog čelika, zaštite: od prskajuće vode IP X4D, od nedostatka vode, od smrzavanja, „anti-kamenac“ funkcija; plamenik s automatskom modulacijom u području od 20 do 100 % s integriranom funkcijom "ELGA" koja omogućava kontrolu procesa izgaranja, veliki osvijetljeni tekstualni LC zaslon (s digitalno informacijskim-analitičkim "DIA" sustavom), metalna prednja vrata, eBUS elektronska ploča za poboljšanu komunikaciju između uređaja i regulatora, podesiv prestrujni ventil, integrirana visokoučinkovita optočna crpka, automatski brzi odzračivač, sigurnosni ventil te podesivi trosmjerni ventil kao predpriprema za spajanje sa spremnikom tople vode, mogućnost spajanja indirektno grijanog spremnika za potrošnu toplu vodu uniSTOR VIH, uređaj je pripremljen za direktnu integraciju na niskotemperaturne sustave grijanja, integrirana ekspanzijska posuda volumena 10 litara, integriran multifunkcijski relej na elektronskoj ploči koji se može programirati (dodatne pumpe, recirkulacija), mogućnost skidanja bočnih stranica.
Učinak/opterećenje G20
- Područje nazivnog toplinskog učinka P pri 50/30 °C: 6,4 - 31,8 kW
- Područje nazivnog toplinskog učinka P pri 80/60 °C: 5,8 - 30,0 kW</t>
    </r>
  </si>
  <si>
    <r>
      <t>Automatika sa regulacijom u ovisnosti o vanjskoj temperaturi calorMATIC 450</t>
    </r>
    <r>
      <rPr>
        <b/>
        <sz val="10"/>
        <rFont val="Arial Narrow"/>
        <family val="2"/>
        <charset val="238"/>
      </rPr>
      <t xml:space="preserve"> ili jednakovrijedan</t>
    </r>
    <r>
      <rPr>
        <sz val="10"/>
        <rFont val="Arial Narrow"/>
        <family val="2"/>
        <charset val="238"/>
      </rPr>
      <t xml:space="preserve">, regulacija temperature u polaznom vodu jednog kruga grijanja, ovisno o vanjskoj temperaturi te prema odabranoj krivulji grijanja. Tekstualni zaslon na hrvatskom jeziku s plavim pozadinskim osvjetljenjem. Automatsko prebacivanje podešenog vremena ljeto/zima. "Party" funkcija. Funkcija godišnjeg odmora. Funkcija "nema me kod kuće". Funkcija "sustav grijanja ugašen". Vremensko programiranje sustava grijanja. </t>
    </r>
    <r>
      <rPr>
        <i/>
        <sz val="10"/>
        <rFont val="Arial Narrow"/>
        <family val="2"/>
        <charset val="238"/>
      </rPr>
      <t>Vremensko programiranje pripreme potrošne tople vode s funkcijom jednokratnog punjenja spremnika.</t>
    </r>
    <r>
      <rPr>
        <sz val="10"/>
        <rFont val="Arial Narrow"/>
        <family val="2"/>
        <charset val="238"/>
      </rPr>
      <t xml:space="preserve"> Zaštita od smrzavanja. Klizno upravljanje s krugom grijanja u ovisnosti o krivulji grijanja i korekcijskim faktorima. Koristi se samo za uređaje sa eBUS elektronskom pločom. Montaža na zid ili direktno u Vaillant generator topline.
Pogonski napon:  24 V
Potrošnja struje:  &lt; 50 mA
Presjek priključnih kabela:  0,75 ... 1,5 mm2
Vrsta zaštite:  IP 20
Klasa zaštite:   III
Maksimalno dopuštena temperatura okoline:  50 °C
Visina:  97 mm
Širina:  147 mm
Dubina:  50 mm</t>
    </r>
  </si>
  <si>
    <r>
      <t xml:space="preserve">Adapter 60/100 na 80/125 za ecoTEC/5 </t>
    </r>
    <r>
      <rPr>
        <b/>
        <sz val="10"/>
        <color theme="1"/>
        <rFont val="Arial Narrow"/>
        <family val="2"/>
        <charset val="238"/>
      </rPr>
      <t xml:space="preserve"> ili jednakovrijedan</t>
    </r>
  </si>
  <si>
    <r>
      <t xml:space="preserve">Proizvod kao GEA  </t>
    </r>
    <r>
      <rPr>
        <b/>
        <sz val="10"/>
        <rFont val="Arial Narrow"/>
        <family val="2"/>
        <charset val="238"/>
      </rPr>
      <t>ili jednakovrijedan</t>
    </r>
    <r>
      <rPr>
        <sz val="10"/>
        <rFont val="Arial Narrow"/>
        <family val="2"/>
        <charset val="238"/>
      </rPr>
      <t>:</t>
    </r>
  </si>
  <si>
    <r>
      <t>Dobava, montaža, spajanje do pune funkcionalnosti i označavanje razvodnog ormara oznake RO dovoljnih dimenzija za instalciju opreme prema jednopolnim shemama, tipski testiran prema IEC, kao SCHNEIDER Prisma Plus G</t>
    </r>
    <r>
      <rPr>
        <b/>
        <sz val="9"/>
        <rFont val="Arial"/>
        <family val="2"/>
        <charset val="238"/>
      </rPr>
      <t xml:space="preserve"> ili jednakovrijedan</t>
    </r>
    <r>
      <rPr>
        <sz val="9"/>
        <rFont val="Arial"/>
        <family val="2"/>
        <charset val="238"/>
      </rPr>
      <t>. Ormar je samostojeći, metalni, s prozirnim vratima na aparatnim i na kabelskim poljima sa stupnjem zaštite IP30.Ulaz glavnih napojnih kabela predviđen je sa gornje strane razdjelnika, kao i odlaz svih kabela. Ormar je opremljen DIN šinama i poklopcima za opremu, bravom i ključem. Za napajanje opreme prediđene su sabirnice powerclip s 160A na leđnoj stranici razdjelnika, te multiclip 63A horizontalnim distributivnim blokovima. Dovodni i odvodni kabeli spajaju se na redne stezaljke unutar kabelskog polja u kojemu se nalaze i sabirnice PE i N. Stavka uključuje sav potreban montažni materijal za potpunu funkcionalnost:</t>
    </r>
  </si>
  <si>
    <r>
      <t xml:space="preserve">Redne stezaljke proizvođača tip kao Phoenix Contact </t>
    </r>
    <r>
      <rPr>
        <b/>
        <sz val="9"/>
        <rFont val="Arial"/>
        <family val="2"/>
        <charset val="238"/>
      </rPr>
      <t>ili jednakovrijedan</t>
    </r>
    <r>
      <rPr>
        <sz val="9"/>
        <rFont val="Arial"/>
        <family val="2"/>
        <charset val="238"/>
      </rPr>
      <t xml:space="preserve">, P/F vodiči, izolatori, natpisi i natpisne pločice  pinovi, uvodnice i ostali sitni spojni i montažni materijal, potreban do potpunog opremanja ormara , uključujući ispitni list ormara i metalna pločica  oznake sukladnosti. Svu opremu i kabele kvalitetno označiti. U ormaru ostaviti revizijski list sa nazivom firme i žigom koja je spojila i ugradila ormar na koji će se u buduće upisivati održavanja i radovi. </t>
    </r>
  </si>
  <si>
    <t>Dobava, ugradnja i spajanje ugradne priključnice 1xRJ45, oklopljena, Cat 6, komplet sa svim potrebnim materijalom za ugradnju u zid od opeke ili gips kartonske ploče kompletno sa nosivim i dekorativnim okvirom  te kutijom za ugradnju, kao tip Altira ili jednakovrijedan, proizvođača Schneider Electric</t>
  </si>
  <si>
    <t>COMELIT  ili jednakovrijedan, KUĆIŠTE SA ŠTITNIKOM, NŽ, ZA 3 MODULA POWERCOM</t>
  </si>
  <si>
    <t>COMELIT OKVIR ZA 3 MODULA IKALL, SREBRNI  ili jednakovrijedan</t>
  </si>
  <si>
    <t>COMELIT MODUL ZA MIKROZVUČNIK IKALL, 2 TIPKE, CRNI  ili jednakovrijedan</t>
  </si>
  <si>
    <t>COMELIT MIKROZVUČNIK IKALL, SIMPLEBUS, DIGITALNI 2 ŽICE  ili jednakovrijedan</t>
  </si>
  <si>
    <t>COMELIT ŠIFRATOR ZA IKALL PANEL  ili jednakovrijedan</t>
  </si>
  <si>
    <t>COMELIT MODUL ZA ČITAČ KARTICA, IKALL, CRNI  ili jednakovrijedan</t>
  </si>
  <si>
    <t>COMELIT ČITAČ KARTICA, SIMPLEKEY BASIC  ili jednakovrijedan</t>
  </si>
  <si>
    <t>COMELIT KLJUČ ELEKTR.-PRIVJESAK ZA SK9000
BROJ PRIVJESAKA OVISI O POTREBAMA  ili jednakovrijedan</t>
  </si>
  <si>
    <t>COMELIT ISPRAVLJAČ ZA IKALL, 33Vdc, 500mA ili jednakovrijedan</t>
  </si>
  <si>
    <t>COMELIT SIMPLEBUS SISTEM DIGITAL ili jednakovrijedan</t>
  </si>
  <si>
    <t>COMELIT ISPRAVLJAČ 230V/12VAC/15VA, 3 DIN  ili jednakovrijedan</t>
  </si>
  <si>
    <t>COMELIT RELEJ SIMPLEBUS 2, 12VAC ili 20VDC, 4 DIN  ili jednakovrijedan</t>
  </si>
  <si>
    <t>COMELIT SLUŠALICA ZA SIMPLEBUS 2 ili jednakovrijedan</t>
  </si>
  <si>
    <t>COMELIT STALAK STOLNI ZA STYLE I BASIC ili jednakovrijedan</t>
  </si>
  <si>
    <t>BRAVA 8-12V+SENZOR+DEBLOKADA ili jednakovrijedan</t>
  </si>
  <si>
    <t>Napojna jedinica PSU 230V/24V ili jednakovrijedan</t>
  </si>
  <si>
    <r>
      <t xml:space="preserve">Izrada SCADA aplikacije za rješenje kao tip PME 8.2                                                                                                                                                               - instalacija programskog paketa Power Monitoring Expert 8.2. </t>
    </r>
    <r>
      <rPr>
        <b/>
        <sz val="9"/>
        <rFont val="Arial"/>
        <family val="2"/>
        <charset val="238"/>
      </rPr>
      <t xml:space="preserve"> ili jednakovrijedan</t>
    </r>
    <r>
      <rPr>
        <sz val="9"/>
        <rFont val="Arial"/>
        <family val="2"/>
        <charset val="238"/>
      </rPr>
      <t xml:space="preserve">                                                                                                                  - integracija pojedinačnih licenci u sustav
- dodavanje mjernih instrumenata
- izrada grafičkih maski
- konfiguriranje SQL baze podataka
- izrada početnog ekrana aplikacije
- izrada korisničkih uputa
- izrada preddefiniranih izvještaja o potrošnji električne energije</t>
    </r>
  </si>
  <si>
    <r>
      <t xml:space="preserve">Dobava, montaža i spajanje modularnog ispravljača, jednofazni, ulazni napon 85-264 V AC ili 95-250VDC, izlazni napon 24 V DC; struja 2,5 A; 
kao tip STEP-PS, oznake 2868651, proizvođača Phoenix Contact </t>
    </r>
    <r>
      <rPr>
        <b/>
        <sz val="9"/>
        <rFont val="Arial"/>
        <family val="2"/>
        <charset val="238"/>
      </rPr>
      <t>ili jednakovrijedan</t>
    </r>
  </si>
  <si>
    <r>
      <t>Dobava, montaža i spajanje neupravljivog mrežnog preklopnika (switch) za industrijsko umrežavanje, 10/100 Mbit/s, za montažu na DIN šinu s 5 portova;
kao tip ConneXium, oznake TCSESU053FN0, proizvođača Schneider Electric</t>
    </r>
    <r>
      <rPr>
        <b/>
        <sz val="9"/>
        <rFont val="Arial"/>
        <family val="2"/>
        <charset val="238"/>
      </rPr>
      <t xml:space="preserve"> ili jednakovrijedan</t>
    </r>
  </si>
  <si>
    <r>
      <t xml:space="preserve">Modularni ispravljač, jednofazni, ulazni napon 85-264 V AC ili 95-250VDC, izlazni napon 24 V DC; struja 2,5 A, kao tip STEP POWER oznake 2868651, proizvođača Phoenix Contact </t>
    </r>
    <r>
      <rPr>
        <b/>
        <sz val="9"/>
        <rFont val="Arial"/>
        <family val="2"/>
        <charset val="238"/>
      </rPr>
      <t>ili jednakovrijedan</t>
    </r>
  </si>
  <si>
    <r>
      <t xml:space="preserve">Bežični koncentrator signala s kontrolera temperature preko ZigBee PRO komunikacijskog protokola, te s mogućnošću slanja podataka prema glavnom upravljačkom serveru preko BACnet TCP/IP protokola. Mogućnost komunikacije s uređajima putem RS485 ModBUS protokola te digitalnim i analognim I/O signalima (6 univerzalnih ulaza, 4 analogna izlaza i 2 relejna izlaza), napajanje 24 V AC/DC, kao tip MPM-UN oznake MPM-UN-0I4-5045, proizvođača Schneider Electric </t>
    </r>
    <r>
      <rPr>
        <b/>
        <sz val="9"/>
        <rFont val="Arial"/>
        <family val="2"/>
        <charset val="238"/>
      </rPr>
      <t>ili jednakovrijedan</t>
    </r>
  </si>
  <si>
    <r>
      <t>Bežični kontroler s podrškom za lokalno programiranje putem skripti i programskih aplikacija, mogućnost povezivanja s bežičnim koncentratorima signala putem ZigBee PRO protokola. Kontroler ima ugrađene priključke za:  4 univerzalna ulaza, 4 analogna izlaza i 5 relejnih izlaza. Napajanje 220...240 V AC 50/60 Hz, kao tip SEC-TE oznake SEC-TEA-230-5045, proizvođača Schneider Electric</t>
    </r>
    <r>
      <rPr>
        <b/>
        <sz val="9"/>
        <rFont val="Arial"/>
        <family val="2"/>
        <charset val="238"/>
      </rPr>
      <t xml:space="preserve"> ili jednakovrijedan</t>
    </r>
  </si>
  <si>
    <r>
      <t>Bežični pretvornik i koncentrator signala s kontrolera temperature preko ZigBee PRO komunikacijskog protokola, te s mogućnošću slanja podataka prema glavnom upravljačkom serveru preko BACnet TCP/IP protokola, napajanje 24 V AC/DC, kao tip MPM-GW oznake MPM-GW-DI0-5045, proizvođača Schneider Electric</t>
    </r>
    <r>
      <rPr>
        <b/>
        <sz val="9"/>
        <rFont val="Arial"/>
        <family val="2"/>
        <charset val="238"/>
      </rPr>
      <t xml:space="preserve"> ili jednakovrijedan</t>
    </r>
  </si>
  <si>
    <r>
      <t>CO</t>
    </r>
    <r>
      <rPr>
        <sz val="9"/>
        <color indexed="8"/>
        <rFont val="Arial"/>
        <family val="2"/>
        <charset val="238"/>
      </rPr>
      <t xml:space="preserve">2 senzorski modul za SE8000 kontroler za
kontrolu kvalitete zraka, kao tip VCM oznake VCM8001V5045, proizvođača Schneider Electric </t>
    </r>
    <r>
      <rPr>
        <b/>
        <sz val="9"/>
        <color indexed="8"/>
        <rFont val="Arial"/>
        <family val="2"/>
        <charset val="238"/>
      </rPr>
      <t>ili jednakovrijedan</t>
    </r>
  </si>
  <si>
    <r>
      <t xml:space="preserve">Programabilni sobni termostat i kontroler ventilokonvektora sa senzorom temperature i vlažnosti zraka te prisutnosti unutar prostorije,  s mogućnošću spajanja modula za bežičnu ZigBee PRO komunikaciju, za spajanje bežičnih kontakata za prozore, te relejnog seta za upravljanje ventilokonvektorom, kao tip SER8000 oznake SER8350A5B11, proizvođača Schneider Electric </t>
    </r>
    <r>
      <rPr>
        <b/>
        <sz val="9"/>
        <rFont val="Arial"/>
        <family val="2"/>
        <charset val="238"/>
      </rPr>
      <t>ili jednakovrijedan</t>
    </r>
  </si>
  <si>
    <r>
      <t xml:space="preserve">Komunikacijski modul ZigBee Pro za SE8300 programibilni sobni termostat i kontroler, kao tip SE8000 oznake VCM8000V5045P, proizvođača Schneider Electric </t>
    </r>
    <r>
      <rPr>
        <b/>
        <sz val="9"/>
        <rFont val="Arial"/>
        <family val="2"/>
        <charset val="238"/>
      </rPr>
      <t>ili jednakovrijedan</t>
    </r>
  </si>
  <si>
    <r>
      <t>Relejni set za ugradbu na ventilokonvektor za dvocijevne i četverocjevne sustave grijanja i hlađenja, s mogućnošću kontrole ventilatora s 3 brzine, kao tip SC3000 oznake SC3504E5045, proizvođača Schneider Electric</t>
    </r>
    <r>
      <rPr>
        <b/>
        <sz val="9"/>
        <rFont val="Arial"/>
        <family val="2"/>
        <charset val="238"/>
      </rPr>
      <t xml:space="preserve"> ili jednakovrijedan</t>
    </r>
  </si>
  <si>
    <r>
      <t>Bežični senzor otvorenosti prozora ili vrata, komunikacija preko Zigbee PRO komunikacijskog protokola, kao tip SED-WDS oznake SED-WDS-P-5045, proizvođača Schneider Electric</t>
    </r>
    <r>
      <rPr>
        <b/>
        <sz val="9"/>
        <rFont val="Arial"/>
        <family val="2"/>
        <charset val="238"/>
      </rPr>
      <t xml:space="preserve"> ili jednakovrijedan</t>
    </r>
  </si>
  <si>
    <r>
      <t>KNX napajanje 640 mA, max. 64 uređaja, 
kao oznake MTN684064, proizvođača Schneider Electric</t>
    </r>
    <r>
      <rPr>
        <b/>
        <sz val="9"/>
        <rFont val="Arial"/>
        <family val="2"/>
        <charset val="238"/>
      </rPr>
      <t xml:space="preserve"> ili jednakovrijedan</t>
    </r>
  </si>
  <si>
    <r>
      <t>HOME LYNK uređaj za vizualizaciju, nadzor i upravljanje, 
kao oznake LSS100100, proizvođača Schneider Electric</t>
    </r>
    <r>
      <rPr>
        <b/>
        <sz val="9"/>
        <rFont val="Arial"/>
        <family val="2"/>
        <charset val="238"/>
      </rPr>
      <t xml:space="preserve"> ili jednakovrijedan</t>
    </r>
  </si>
  <si>
    <r>
      <t>KNX izvor napajanja REG/24V DC/0,4A, 
kao oznake MTN693003, proizvođača Schneider Electric</t>
    </r>
    <r>
      <rPr>
        <b/>
        <sz val="9"/>
        <rFont val="Arial"/>
        <family val="2"/>
        <charset val="238"/>
      </rPr>
      <t xml:space="preserve"> ili jednakovrijedan</t>
    </r>
  </si>
  <si>
    <r>
      <t xml:space="preserve">KNX sprežnik, 
kao oznake MTN680204, proizvođača Schneider Electric </t>
    </r>
    <r>
      <rPr>
        <b/>
        <sz val="9"/>
        <rFont val="Arial"/>
        <family val="2"/>
        <charset val="238"/>
      </rPr>
      <t>ili jednakovrijedan</t>
    </r>
  </si>
  <si>
    <r>
      <t xml:space="preserve">KNX DALI gateway REG-K/1/16(64)/64/IP1, max. 64 ECG u 16 grupa, 
kao oznake MTN6725-0001, proizvođača Schneider Electric  </t>
    </r>
    <r>
      <rPr>
        <b/>
        <sz val="9"/>
        <rFont val="Arial"/>
        <family val="2"/>
        <charset val="238"/>
      </rPr>
      <t>ili jednakovrijedan</t>
    </r>
  </si>
  <si>
    <r>
      <t xml:space="preserve">KNX aktuator za upravljanje žaluzinama i zavjesama, 4 kanala, 230 VAC, 10 A, cosφ= 0.6, 
kao oznake MTN649804, proizvođača Schneider Electric </t>
    </r>
    <r>
      <rPr>
        <b/>
        <sz val="9"/>
        <rFont val="Arial"/>
        <family val="2"/>
        <charset val="238"/>
      </rPr>
      <t xml:space="preserve"> ili jednakovrijedan</t>
    </r>
  </si>
  <si>
    <r>
      <t>KNX zidni detektor prisutnosti, bijele boje, 10-2000 Lux, područje detekcije 180°, domet 8 m (na visini 2.20 m), 
kao tip ARGUS oznake MTN630419, proizvođača Schneider Electric</t>
    </r>
    <r>
      <rPr>
        <b/>
        <sz val="9"/>
        <rFont val="Arial"/>
        <family val="2"/>
        <charset val="238"/>
      </rPr>
      <t xml:space="preserve"> ili jednakovrijedan</t>
    </r>
  </si>
  <si>
    <r>
      <t xml:space="preserve">KNX stropni detektor prisutnosti, bijele boje, 10-2000 Lux, područje detekcije 360°, domet 7 m (na visini 2.50 m), konstantna regulacija intenziteta rasvjetljenosti, 
kao tip ARGUS oznake MTN630919, proizvođača Schneider Electric </t>
    </r>
    <r>
      <rPr>
        <b/>
        <sz val="9"/>
        <rFont val="Arial"/>
        <family val="2"/>
        <charset val="238"/>
      </rPr>
      <t xml:space="preserve"> ili jednakovrijedan</t>
    </r>
  </si>
  <si>
    <r>
      <t xml:space="preserve">KNX tipkalo sa jednim preklapajućim elementom (1fold), bijele boje, 
kao tip System M oznake MTN617119, proizvođača Schneider Electric </t>
    </r>
    <r>
      <rPr>
        <b/>
        <sz val="9"/>
        <rFont val="Arial"/>
        <family val="2"/>
        <charset val="238"/>
      </rPr>
      <t xml:space="preserve"> ili jednakovrijedan</t>
    </r>
  </si>
  <si>
    <r>
      <t xml:space="preserve">KNX tipkalo sa dva preklapajuća elementa (2fold), bijele boje, 
kao tip System M oznake MTN617219, proizvođača Schneider Electric </t>
    </r>
    <r>
      <rPr>
        <b/>
        <sz val="9"/>
        <rFont val="Arial"/>
        <family val="2"/>
        <charset val="238"/>
      </rPr>
      <t xml:space="preserve"> ili jednakovrijedan</t>
    </r>
  </si>
  <si>
    <r>
      <t xml:space="preserve">KNX tipkalo sa dva preklapajuća elementa (2fold) i zaslonom za upravljanje temperature prostorije, 
kao tip System M oznake MTN6212-0319, proizvođača Schneider Electric </t>
    </r>
    <r>
      <rPr>
        <b/>
        <sz val="9"/>
        <rFont val="Arial"/>
        <family val="2"/>
        <charset val="238"/>
      </rPr>
      <t xml:space="preserve"> ili jednakovrijedan</t>
    </r>
  </si>
  <si>
    <r>
      <t xml:space="preserve">KNX tipkalo s dodirnim zaslonom, 
kao tip System M oznake MTN6215-0310, proizvođača Schneider Electric </t>
    </r>
    <r>
      <rPr>
        <b/>
        <sz val="9"/>
        <rFont val="Arial"/>
        <family val="2"/>
        <charset val="238"/>
      </rPr>
      <t xml:space="preserve"> ili jednakovrijedan</t>
    </r>
  </si>
  <si>
    <r>
      <t xml:space="preserve">KNX temperaturna sonda za tipkalo s dodirnim zaslonom, 
kao oznake MTN5775-0003, proizvođača Schneider Electric </t>
    </r>
    <r>
      <rPr>
        <b/>
        <sz val="9"/>
        <rFont val="Arial"/>
        <family val="2"/>
        <charset val="238"/>
      </rPr>
      <t xml:space="preserve"> ili jednakovrijedan</t>
    </r>
  </si>
  <si>
    <r>
      <t xml:space="preserve">KNX okvir (1fold), 
kao tip System M oznake MTN478119, proizvođača Schneider Electric </t>
    </r>
    <r>
      <rPr>
        <b/>
        <sz val="9"/>
        <rFont val="Arial"/>
        <family val="2"/>
        <charset val="238"/>
      </rPr>
      <t xml:space="preserve"> ili jednakovrijedan</t>
    </r>
  </si>
  <si>
    <r>
      <t xml:space="preserve">KNX vremenska stanica, mjerenje vjetra, kiše, rasvjetljenosti i temperature,
kao oznake MTN6904-0001, proizvođača Schneider Electric </t>
    </r>
    <r>
      <rPr>
        <b/>
        <sz val="9"/>
        <rFont val="Arial"/>
        <family val="2"/>
        <charset val="238"/>
      </rPr>
      <t xml:space="preserve"> ili jednakovrijedan</t>
    </r>
  </si>
  <si>
    <r>
      <t>Nosač vremenske stanice,
kao oznake MTN6904-0002, proizvođača Schneider Electric</t>
    </r>
    <r>
      <rPr>
        <b/>
        <sz val="9"/>
        <rFont val="Arial"/>
        <family val="2"/>
        <charset val="238"/>
      </rPr>
      <t xml:space="preserve">  ili jednakovrijedan</t>
    </r>
  </si>
  <si>
    <r>
      <t xml:space="preserve">KNX aktuator za grijanje sa 6 izlaza REG-K/6x24/230/0.16A,
kao oznake MTN6730-0001, proizvođača Schneider Electric </t>
    </r>
    <r>
      <rPr>
        <b/>
        <sz val="9"/>
        <rFont val="Arial"/>
        <family val="2"/>
        <charset val="238"/>
      </rPr>
      <t xml:space="preserve"> ili jednakovrijedan</t>
    </r>
  </si>
  <si>
    <r>
      <t xml:space="preserve">KNX termoelektrični pogon za ventile, 230 VAC
kao oznake MTN639125, proizvođača Schneider Electric </t>
    </r>
    <r>
      <rPr>
        <b/>
        <sz val="9"/>
        <rFont val="Arial"/>
        <family val="2"/>
        <charset val="238"/>
      </rPr>
      <t xml:space="preserve"> ili jednakovrijedan</t>
    </r>
  </si>
  <si>
    <r>
      <t xml:space="preserve">KNX detektor dima,
kao oznake 70409, proizvođača Elsner-elektronik </t>
    </r>
    <r>
      <rPr>
        <b/>
        <sz val="9"/>
        <rFont val="Arial"/>
        <family val="2"/>
        <charset val="238"/>
      </rPr>
      <t>ili jednakovrijedan</t>
    </r>
  </si>
  <si>
    <r>
      <t xml:space="preserve">• Pohrana povijesnih podataka i podataka o događajima na mrežnu ODBC-kompatibilnu bazu podataka 
• Prikupljanje podataka preko serijske, modemske i Ethernet veze
• Povezivanje sa uređajima i programima drugih proizvođača preko Modbus RTU, Modbus TCP, XML i DDE
• Integracija električnih mjerenja i mjerenja vode, plina, pare, zraka i drugih
• za integraciju mjernih uređaja bilo kojeg proizvođača s Modbus komunikacijskom opcijom                                                                                                                                                      • intuitivno i prilagodljivo web sučelje s podrškom na više jezika                                                  • standardni i napredni izvještaji potrošnje i analize troškova potrošene energije                                                                                                           • predefinirani alarmi                                                                                                                                        • u potpunosti kompatibilno s ION tehnologijom                                                                           kao tip Power Monitorin Expert, oznake PSWSYNCZZSPEZZ, proizvođača Schneider Electric </t>
    </r>
    <r>
      <rPr>
        <b/>
        <sz val="9"/>
        <rFont val="Arial"/>
        <family val="2"/>
        <charset val="238"/>
      </rPr>
      <t>ili jednakovrijedan</t>
    </r>
  </si>
  <si>
    <r>
      <t xml:space="preserve">Ethernet pretvornik se može konfigurirati daljinski pomoću standardnog web preglednika.
Sadrži jedan serijski RS 485 port koji se koristi za povezivanje serijskih. RS 485 serijski port sadrži sljedeće specifikacije:
(1) Podržava do 32 serijskih uređaja bez repetitora. Podržava Modbus komunikaciju lančano spojenih uređaja.
(2) serijski port je podesiv za 2-žično ili 4-žično povezivanje uređaja. Vijčani tip konektora sa 5-pozicija.
(3) Podržava prijenos podataka na brzinama prijenosa od 2400 do 38400 bit/s. Podržava bitove pariteta: </t>
    </r>
    <r>
      <rPr>
        <i/>
        <sz val="9"/>
        <rFont val="Arial"/>
        <family val="2"/>
        <charset val="238"/>
      </rPr>
      <t>even, odd, none</t>
    </r>
    <r>
      <rPr>
        <sz val="9"/>
        <rFont val="Arial"/>
        <family val="2"/>
        <charset val="238"/>
      </rPr>
      <t>.                                                                                                                                                                                                                            (4) LED indikacija za prikaz komunikacijske aktivnosti. LED indikacija za prijenos (Tx) i za primanje (Rx) po portu.                                                                                                 (5) Ethernet pretvornik podržava dva fizička sučelja za pojedini serijski port. RS232 i RS485 protokol.                                                                                                                                    (6) Ethernet pretvornik ima ugrađeno 6 digitalnih i 2 analogna ulaza za primanje signala                                                                                                                                                          (7) Ethernet pretvonik ima 2x RJ 45 porta od kojih jedan može koristiti za PoE                                                                                                                       (8) 128 MB RAM memorije                                                                                             
kao tip ComX, oznake EBX510, proizvođača Schneider Electric</t>
    </r>
    <r>
      <rPr>
        <b/>
        <sz val="9"/>
        <rFont val="Arial"/>
        <family val="2"/>
        <charset val="238"/>
      </rPr>
      <t xml:space="preserve"> ili jednakovrijedan</t>
    </r>
  </si>
  <si>
    <r>
      <t>kao oznake 5511.120, proizvođača Rittal</t>
    </r>
    <r>
      <rPr>
        <b/>
        <sz val="9"/>
        <rFont val="Arial"/>
        <family val="2"/>
        <charset val="238"/>
      </rPr>
      <t xml:space="preserve"> ili jednakovrijedan</t>
    </r>
  </si>
  <si>
    <r>
      <t>TS8 dvodijelne bočne strane 2000x1200 sa priborom za zaključavanje
kao oznake 5501.040, proizvođača Rittal</t>
    </r>
    <r>
      <rPr>
        <b/>
        <sz val="9"/>
        <rFont val="Arial"/>
        <family val="2"/>
        <charset val="238"/>
      </rPr>
      <t xml:space="preserve"> ili jednakovrijedan</t>
    </r>
  </si>
  <si>
    <r>
      <t xml:space="preserve">TS8 flex box kutni dio podnožja pak=4
kao oznake 8100.000, proizvođača Rittal </t>
    </r>
    <r>
      <rPr>
        <b/>
        <sz val="9"/>
        <rFont val="Arial"/>
        <family val="2"/>
        <charset val="238"/>
      </rPr>
      <t>ili jednakovrijedan</t>
    </r>
  </si>
  <si>
    <r>
      <t xml:space="preserve">TS8 flex boxprednje/stražnje strane podnožja 100X800mm pak=2
kao oznake 8100.120, proizvođača Rittal </t>
    </r>
    <r>
      <rPr>
        <b/>
        <sz val="9"/>
        <rFont val="Arial"/>
        <family val="2"/>
        <charset val="238"/>
      </rPr>
      <t>ili jednakovrijedan</t>
    </r>
  </si>
  <si>
    <r>
      <t>TS8 flex box bočne strane podnožja 100X1200mm pak=2
kao oznake 8100.120, proizvođača Rittal</t>
    </r>
    <r>
      <rPr>
        <b/>
        <sz val="9"/>
        <rFont val="Arial"/>
        <family val="2"/>
        <charset val="238"/>
      </rPr>
      <t xml:space="preserve"> ili jednakovrijedan</t>
    </r>
  </si>
  <si>
    <r>
      <t xml:space="preserve">TS-IT Magnetski pokrov
kao oznake 5501.895, proizvođača Rittal </t>
    </r>
    <r>
      <rPr>
        <b/>
        <sz val="9"/>
        <rFont val="Arial"/>
        <family val="2"/>
        <charset val="238"/>
      </rPr>
      <t>ili jednakovrijedan</t>
    </r>
  </si>
  <si>
    <r>
      <t xml:space="preserve">TS-IT Vertikalni kabelski kanal 42U
kao oznake 5502.120, proizvođača Rittal </t>
    </r>
    <r>
      <rPr>
        <b/>
        <sz val="9"/>
        <rFont val="Arial"/>
        <family val="2"/>
        <charset val="238"/>
      </rPr>
      <t>ili jednakovrijedan</t>
    </r>
  </si>
  <si>
    <r>
      <t>TS-IT nosač podnih ploča
kao oznake 5501.350, proizvođača Rittal</t>
    </r>
    <r>
      <rPr>
        <b/>
        <sz val="9"/>
        <rFont val="Arial"/>
        <family val="2"/>
        <charset val="238"/>
      </rPr>
      <t xml:space="preserve"> ili jednakovrijedan</t>
    </r>
  </si>
  <si>
    <r>
      <t>TS-IT pune podne ploče
kao oznake 5502.570, proizvođača Rittal</t>
    </r>
    <r>
      <rPr>
        <b/>
        <sz val="9"/>
        <rFont val="Arial"/>
        <family val="2"/>
        <charset val="238"/>
      </rPr>
      <t xml:space="preserve"> ili jednakovrijedan</t>
    </r>
  </si>
  <si>
    <r>
      <t>TS-IT sekcija za ulaz kabela
kao oznake 8802.080, proizvođača Rittal</t>
    </r>
    <r>
      <rPr>
        <b/>
        <sz val="9"/>
        <rFont val="Arial"/>
        <family val="2"/>
        <charset val="238"/>
      </rPr>
      <t xml:space="preserve"> ili jednakovrijedan</t>
    </r>
  </si>
  <si>
    <r>
      <t>TS-IT unutarnja pokrovna pločaza odvajanje tople i hladne zone unutar razdjelnika
kao oznake 5501.815, proizvođača Rittal</t>
    </r>
    <r>
      <rPr>
        <b/>
        <sz val="9"/>
        <rFont val="Arial"/>
        <family val="2"/>
        <charset val="238"/>
      </rPr>
      <t xml:space="preserve"> ili jednakovrijedan</t>
    </r>
  </si>
  <si>
    <r>
      <t xml:space="preserve">TS-IT kabelski nosač 6U
kao oznake 5502.115, proizvođača Rittal </t>
    </r>
    <r>
      <rPr>
        <b/>
        <sz val="9"/>
        <rFont val="Arial"/>
        <family val="2"/>
        <charset val="238"/>
      </rPr>
      <t>ili jednakovrijedan</t>
    </r>
  </si>
  <si>
    <r>
      <t>TS-IT perforirana šina 23x73mm
kao oznake 8612.520, proizvođača Rittal</t>
    </r>
    <r>
      <rPr>
        <b/>
        <sz val="9"/>
        <rFont val="Arial"/>
        <family val="2"/>
        <charset val="238"/>
      </rPr>
      <t xml:space="preserve"> ili jednakovrijedan</t>
    </r>
  </si>
  <si>
    <r>
      <t>TS-IT krovni nosač kabelske trase
kao oznake 7831.472, proizvođača Rittal</t>
    </r>
    <r>
      <rPr>
        <b/>
        <sz val="9"/>
        <rFont val="Arial"/>
        <family val="2"/>
        <charset val="238"/>
      </rPr>
      <t xml:space="preserve"> ili jednakovrijedan</t>
    </r>
  </si>
  <si>
    <r>
      <t xml:space="preserve">TS-IT kabelski prsteni
kao oznake 7111.000, proizvođača Rittal </t>
    </r>
    <r>
      <rPr>
        <b/>
        <sz val="9"/>
        <rFont val="Arial"/>
        <family val="2"/>
        <charset val="238"/>
      </rPr>
      <t>ili jednakovrijedan</t>
    </r>
  </si>
  <si>
    <r>
      <t>Vijak M6×16, pak=50
kao oznake 7094.130, proizvođača Rittal</t>
    </r>
    <r>
      <rPr>
        <b/>
        <sz val="9"/>
        <rFont val="Arial"/>
        <family val="2"/>
        <charset val="238"/>
      </rPr>
      <t xml:space="preserve"> ili jednakovrijedan</t>
    </r>
  </si>
  <si>
    <r>
      <t>Vijak 5.5x13 torx, pak=300
kao oznake 2486.500, proizvođača Rittal</t>
    </r>
    <r>
      <rPr>
        <b/>
        <sz val="9"/>
        <rFont val="Arial"/>
        <family val="2"/>
        <charset val="238"/>
      </rPr>
      <t xml:space="preserve"> ili jednakovrijedan</t>
    </r>
  </si>
  <si>
    <r>
      <t xml:space="preserve">Kavezna matica M6, pak=50
kao oznake 2092.500, proizvođača Rittal </t>
    </r>
    <r>
      <rPr>
        <b/>
        <sz val="9"/>
        <rFont val="Arial"/>
        <family val="2"/>
        <charset val="238"/>
      </rPr>
      <t>ili jednakovrijedan</t>
    </r>
  </si>
  <si>
    <r>
      <t>Kabelske vezice
kao oznake 2597.000, proizvođača Rittal</t>
    </r>
    <r>
      <rPr>
        <b/>
        <sz val="9"/>
        <rFont val="Arial"/>
        <family val="2"/>
        <charset val="238"/>
      </rPr>
      <t xml:space="preserve"> ili jednakovrijedan</t>
    </r>
  </si>
  <si>
    <r>
      <t>PDU napojna letva za IT razdjelnike, sa 24 C13 utičnica i 4 C19 utičnica
kao oznake 7955.110, proizvođača Rittal</t>
    </r>
    <r>
      <rPr>
        <b/>
        <sz val="9"/>
        <rFont val="Arial"/>
        <family val="2"/>
        <charset val="238"/>
      </rPr>
      <t xml:space="preserve"> ili jednakovrijedan</t>
    </r>
  </si>
  <si>
    <r>
      <t>CMC III procesna jedinica
Mrežni priključak (RJ45) - Ethernet na IEEE 802.3preko 10/100 BaseT sa PoE
Prednji USB priključak
Stražnjii USB priključak
Prednji SD-HC utor - 1× do 32 GB za snimanje podataka
Stražnji serijski priključak RS232 (RJ12) - za displej, GSM ili ISDN 
Digitalni ulazi (terminal) - 2
Relejni izlazi (terminal) - preklopni kontakt 1A
CAN-Bus (RJ45) - 2× za max. 16 senzora 
Piezo signal generator - 1
LED zaslon - 1× OK/upozorenje/alarm
Stražnji LED - 1× mrežni status
Ethernet - TCP/IPv4, TCP/IPv6, SNMPv1, SNMPv3, Telnet, SSH, FTP, SFTP, HTTP, HTTPS, NTP, DHCP, DNS server, SMTP, XML, Syslog, LDAP
Ulaz 24 V DC 
Power over Ethernet - 1
Vremenska funkcija - sat realnog vremena , 
Korisnička administracija - LDAP
Integrirani OPC server
Temperaturni  senzor - NTC 
Senzor pristupa: Infracrvena tehnologija
kao oznake 7030.000 proizvođača Rittal</t>
    </r>
    <r>
      <rPr>
        <b/>
        <sz val="9"/>
        <rFont val="Arial"/>
        <family val="2"/>
        <charset val="238"/>
      </rPr>
      <t xml:space="preserve"> ili jednakovrijedan</t>
    </r>
  </si>
  <si>
    <r>
      <t xml:space="preserve">CMC III napajanje
kao oznake 7030.060, proizvođača Rittal </t>
    </r>
    <r>
      <rPr>
        <b/>
        <sz val="9"/>
        <rFont val="Arial"/>
        <family val="2"/>
        <charset val="238"/>
      </rPr>
      <t>ili jednakovrijedan</t>
    </r>
  </si>
  <si>
    <r>
      <t>CMC III montažna jedinica
kao oznake 7030.088, proizvođača Rittal</t>
    </r>
    <r>
      <rPr>
        <b/>
        <sz val="9"/>
        <rFont val="Arial"/>
        <family val="2"/>
        <charset val="238"/>
      </rPr>
      <t xml:space="preserve"> ili jednakovrijedan</t>
    </r>
  </si>
  <si>
    <r>
      <t>CMC III držač kabela
kao oznake 7030.087, proizvođača Rittal</t>
    </r>
    <r>
      <rPr>
        <b/>
        <sz val="9"/>
        <rFont val="Arial"/>
        <family val="2"/>
        <charset val="238"/>
      </rPr>
      <t xml:space="preserve"> ili jednakovrijedan</t>
    </r>
  </si>
  <si>
    <r>
      <t>CMC III priključni kabel
kao oznake 7200.215, proizvođača Rittal</t>
    </r>
    <r>
      <rPr>
        <b/>
        <sz val="9"/>
        <rFont val="Arial"/>
        <family val="2"/>
        <charset val="238"/>
      </rPr>
      <t xml:space="preserve"> ili jednakovrijedan</t>
    </r>
  </si>
  <si>
    <r>
      <t xml:space="preserve">CMC III temperaturni senzor
kao oznake 7030.110, proizvođača Rittal </t>
    </r>
    <r>
      <rPr>
        <b/>
        <sz val="9"/>
        <rFont val="Arial"/>
        <family val="2"/>
        <charset val="238"/>
      </rPr>
      <t>ili jednakovrijedan</t>
    </r>
  </si>
  <si>
    <r>
      <t xml:space="preserve">CMC III senzor vlage
kao oznake 7030.110, proizvođača Rittal </t>
    </r>
    <r>
      <rPr>
        <b/>
        <sz val="9"/>
        <rFont val="Arial"/>
        <family val="2"/>
        <charset val="238"/>
      </rPr>
      <t>ili jednakovrijedan</t>
    </r>
  </si>
  <si>
    <r>
      <t xml:space="preserve">CMC III spojni kabel RJ 45
kao oznake 7030.093, proizvođača Rittal </t>
    </r>
    <r>
      <rPr>
        <b/>
        <sz val="9"/>
        <rFont val="Arial"/>
        <family val="2"/>
        <charset val="238"/>
      </rPr>
      <t>ili jednakovrijedan</t>
    </r>
  </si>
  <si>
    <r>
      <t>CMC III CAN BUS jedinica pristupa
kao oznake 7030.200, proizvođača Rittal</t>
    </r>
    <r>
      <rPr>
        <b/>
        <sz val="9"/>
        <rFont val="Arial"/>
        <family val="2"/>
        <charset val="238"/>
      </rPr>
      <t xml:space="preserve"> ili jednakovrijedan</t>
    </r>
  </si>
  <si>
    <r>
      <t>CMC III elektromagnetska brava
kao oznake 7030.200, proizvođača Rittal</t>
    </r>
    <r>
      <rPr>
        <b/>
        <sz val="9"/>
        <rFont val="Arial"/>
        <family val="2"/>
        <charset val="238"/>
      </rPr>
      <t xml:space="preserve"> ili jednakovrijedan</t>
    </r>
  </si>
  <si>
    <r>
      <t>CMC III kodni čitač
kao oznake 7030.220, proizvođača Rittal</t>
    </r>
    <r>
      <rPr>
        <b/>
        <sz val="9"/>
        <rFont val="Arial"/>
        <family val="2"/>
        <charset val="238"/>
      </rPr>
      <t xml:space="preserve"> ili jednakovrijedan</t>
    </r>
  </si>
  <si>
    <r>
      <t>CMC III infracrveni senzor pristupa
kao oznake 7030.120, proizvođača Rittal</t>
    </r>
    <r>
      <rPr>
        <b/>
        <sz val="9"/>
        <rFont val="Arial"/>
        <family val="2"/>
        <charset val="238"/>
      </rPr>
      <t xml:space="preserve"> ili jednakovrijedan</t>
    </r>
  </si>
  <si>
    <r>
      <t xml:space="preserve">CMC III spojni kabel RJ 45
kao oznake 7030.092, proizvođača Rittal </t>
    </r>
    <r>
      <rPr>
        <b/>
        <sz val="9"/>
        <rFont val="Arial"/>
        <family val="2"/>
        <charset val="238"/>
      </rPr>
      <t>ili jednakovrijedan</t>
    </r>
  </si>
  <si>
    <r>
      <t xml:space="preserve">19"-FC-PATCH-PANEL ZA 2HE 
kao oznake 7478.535, proizvođača Rittal </t>
    </r>
    <r>
      <rPr>
        <b/>
        <sz val="9"/>
        <rFont val="Arial"/>
        <family val="2"/>
        <charset val="238"/>
      </rPr>
      <t>ili jednakovrijedan</t>
    </r>
  </si>
  <si>
    <r>
      <t>UPS "online sa dvostrukom konverzijom" i automatskim bypass-om, 5000VA/4500kW, mogućnost paralelnog redundantnog rada, monofazni 230VAC, sa ugrađenom baterijom sa autnomijom 8 min na 70% opterećenja, LCD zaslonom, priključcima za  MODBUS i ETHERNET, dimenzija 177x607x440mm (2+2U), 55kg, IP20, "RACK mount"
kao oznake NRT2-5000K, proizvođača SOCOMEC</t>
    </r>
    <r>
      <rPr>
        <b/>
        <sz val="9"/>
        <rFont val="Arial"/>
        <family val="2"/>
        <charset val="238"/>
      </rPr>
      <t xml:space="preserve"> ili jednakovrijedan</t>
    </r>
  </si>
  <si>
    <r>
      <t xml:space="preserve">Baterijski modul 5Ah, "RACK mount", dimenzija 89x608x440mm, 2U, 40kg
kao oznake NRT-B7000, proizvođača SOCOMEC </t>
    </r>
    <r>
      <rPr>
        <b/>
        <sz val="9"/>
        <rFont val="Arial"/>
        <family val="2"/>
        <charset val="238"/>
      </rPr>
      <t>ili jednakovrijedan</t>
    </r>
  </si>
  <si>
    <r>
      <t>Industrijski Ethernet switch, "RACK mount", 24 RJ 45 10/100 Mbps i 4 gigabit combo porta 10/100/1000 Mbps RJ45 
kao oznake FL SWITCH 4824E-4GC, proizvođača Phoenix Contact</t>
    </r>
    <r>
      <rPr>
        <b/>
        <sz val="9"/>
        <rFont val="Arial"/>
        <family val="2"/>
        <charset val="238"/>
      </rPr>
      <t xml:space="preserve"> ili jednakovrijedan</t>
    </r>
  </si>
  <si>
    <r>
      <t xml:space="preserve">Napojna jedinica za industrijski Ethernet switch 90 VAC do 264 V AC i 88 V DC do 300 V DC.
kao oznake FL SWITCH 4800E-P5, proizvođača Phoenix Contact </t>
    </r>
    <r>
      <rPr>
        <b/>
        <sz val="9"/>
        <rFont val="Arial"/>
        <family val="2"/>
        <charset val="238"/>
      </rPr>
      <t>ili jednakovrijedan</t>
    </r>
  </si>
  <si>
    <r>
      <t xml:space="preserve">1U server rack izvedbe, procesorska jedinica Dual (2) Intel Xeon E5-2620 v4 8-Core 2.1GHz 20MB CPUs, radna RAM memorija 16 GB (2x8GB DDR4 PC4-19200 2400 MHz) s mogućnošću proširenja do 768 MB (24 memorijska utora ukupno), memorija za pohranu podataka 2 TB (4x500GB, SATA III 6GB/s SSD 530 MB/s čitanje, 510 MB/s pisanje, maksimalno proširivo do 23 TB memorije za pohranu podataka uz 24x 1,8'' SSD diska, DVD-ROM, redudantno napajanje (1+1) 750 W. Operativni sustav Microsoft Windows Server® 2016 Standard, 16 core pack
kao oznake POWEREDGE R630, proizvođača Dell </t>
    </r>
    <r>
      <rPr>
        <b/>
        <sz val="9"/>
        <rFont val="Arial"/>
        <family val="2"/>
        <charset val="238"/>
      </rPr>
      <t>ili jednakovrijedan</t>
    </r>
  </si>
  <si>
    <r>
      <t>DET-AC III Master sustav rane detekcije i dima i gašenje NOVEC 1230 plinom unutar ormara
kao oznake 7338.121, proizvođača Rittal</t>
    </r>
    <r>
      <rPr>
        <b/>
        <sz val="9"/>
        <rFont val="Arial"/>
        <family val="2"/>
        <charset val="238"/>
      </rPr>
      <t xml:space="preserve"> ili jednakovrijedan</t>
    </r>
  </si>
  <si>
    <r>
      <t xml:space="preserve">TS-IT 19" Klizna šina 600-900mm
kao oznake 5501.480, proizvođača Rittal </t>
    </r>
    <r>
      <rPr>
        <b/>
        <sz val="9"/>
        <rFont val="Arial"/>
        <family val="2"/>
        <charset val="238"/>
      </rPr>
      <t>ili jednakovrijedan</t>
    </r>
  </si>
  <si>
    <r>
      <t xml:space="preserve">DET-AC Plus Set cijevi
kao oznake 7338.130, proizvođača Rittal </t>
    </r>
    <r>
      <rPr>
        <b/>
        <sz val="9"/>
        <rFont val="Arial"/>
        <family val="2"/>
        <charset val="238"/>
      </rPr>
      <t>ili jednakovrijedan</t>
    </r>
  </si>
  <si>
    <r>
      <t>CMC II Senzor pristupa, pak=2
kao oznake 7320.530, proizvođača Rittal</t>
    </r>
    <r>
      <rPr>
        <b/>
        <sz val="9"/>
        <rFont val="Arial"/>
        <family val="2"/>
        <charset val="238"/>
      </rPr>
      <t xml:space="preserve"> ili jednakovrijedan</t>
    </r>
  </si>
  <si>
    <r>
      <t>CMC III Spojni kabel RJ 45, 1.5m
kao oznake 7030.092, proizvođača Rittal</t>
    </r>
    <r>
      <rPr>
        <b/>
        <sz val="9"/>
        <rFont val="Arial"/>
        <family val="2"/>
        <charset val="238"/>
      </rPr>
      <t xml:space="preserve"> ili jednakovrijedan</t>
    </r>
  </si>
  <si>
    <r>
      <t>DK kit za brtvljenje kablovskih prolaza, za TS-IT i LCP
kao oznake 7338.135, proizvođača Rittal</t>
    </r>
    <r>
      <rPr>
        <b/>
        <sz val="9"/>
        <rFont val="Arial"/>
        <family val="2"/>
        <charset val="238"/>
      </rPr>
      <t xml:space="preserve"> ili jednakovrijedan</t>
    </r>
  </si>
  <si>
    <r>
      <t>LED rasvjeta razdjelnika 900 lumena
kao oznake 2500.220, proizvođača Rittal</t>
    </r>
    <r>
      <rPr>
        <b/>
        <sz val="9"/>
        <rFont val="Arial"/>
        <family val="2"/>
        <charset val="238"/>
      </rPr>
      <t xml:space="preserve"> ili jednakovrijedan</t>
    </r>
  </si>
  <si>
    <r>
      <t xml:space="preserve">Kabel za LED rasvjetu
kao oznake 2500.410, proizvođača Rittal </t>
    </r>
    <r>
      <rPr>
        <b/>
        <sz val="9"/>
        <rFont val="Arial"/>
        <family val="2"/>
        <charset val="238"/>
      </rPr>
      <t>ili jednakovrijedan</t>
    </r>
  </si>
  <si>
    <r>
      <t xml:space="preserve">Krajnji prekidač za LED rasvjetu
kao oznake 2500.460, proizvođača Rittal </t>
    </r>
    <r>
      <rPr>
        <b/>
        <sz val="9"/>
        <rFont val="Arial"/>
        <family val="2"/>
        <charset val="238"/>
      </rPr>
      <t>ili jednakovrijedan</t>
    </r>
  </si>
  <si>
    <r>
      <t>19" Panel-držač kabela 1U
kao oznake 5502.225, proizvođača Rittal</t>
    </r>
    <r>
      <rPr>
        <b/>
        <sz val="9"/>
        <rFont val="Arial"/>
        <family val="2"/>
        <charset val="238"/>
      </rPr>
      <t xml:space="preserve"> ili jednakovrijedan</t>
    </r>
  </si>
  <si>
    <r>
      <t xml:space="preserve">Police 400mm
kao oznake 5501.625, proizvođača Rittal </t>
    </r>
    <r>
      <rPr>
        <b/>
        <sz val="9"/>
        <rFont val="Arial"/>
        <family val="2"/>
        <charset val="238"/>
      </rPr>
      <t>ili jednakovrijedan</t>
    </r>
  </si>
  <si>
    <r>
      <t xml:space="preserve">Odvodnik prenapona DATA kao tip DEFENDER RJ45 S-E100 4-B, proizvođača Obo Betterman </t>
    </r>
    <r>
      <rPr>
        <b/>
        <sz val="9"/>
        <rFont val="Arial"/>
        <family val="2"/>
        <charset val="238"/>
      </rPr>
      <t>ili jednakovrijedan</t>
    </r>
  </si>
  <si>
    <r>
      <t xml:space="preserve">električno, dizalo bez strojarnice - tip GEN 2 Genesis </t>
    </r>
    <r>
      <rPr>
        <b/>
        <sz val="10"/>
        <rFont val="Arial Narrow"/>
        <family val="2"/>
        <charset val="238"/>
      </rPr>
      <t xml:space="preserve"> ili jednakovrijedan</t>
    </r>
  </si>
  <si>
    <r>
      <t xml:space="preserve">Minijaturni automatski prekidač sa VISI-TRIP i VISI-SAFE funkcionalnošću i mogućnošću prigradnje pomoćnog pribora, prekidne moći Icu=10kA kod 415V AC prema IEC/EN 60947-2, tropolni, 40A, C krivulje; 
kao tip Acti9, iC60N  </t>
    </r>
    <r>
      <rPr>
        <b/>
        <sz val="9"/>
        <rFont val="Arial"/>
        <family val="2"/>
        <charset val="238"/>
      </rPr>
      <t>ili jednakovrijedan</t>
    </r>
    <r>
      <rPr>
        <sz val="9"/>
        <rFont val="Arial"/>
        <family val="2"/>
        <charset val="238"/>
      </rPr>
      <t>, oznake A9F74340, proizvođača Schneider Electric</t>
    </r>
  </si>
  <si>
    <r>
      <t xml:space="preserve">Diferencijalna zaštitna sklopka modularne izvedbe, Icu=10kA kod 440V AC prema IEC/EN 61008-1, sa mogućnošću prigradnje pomoćnog pribora, četveropolna 3P+N, nazivne struje 40A, osjetljivosti 30mA, tip B; 
kao tip Acti9, ID RCCB  </t>
    </r>
    <r>
      <rPr>
        <b/>
        <sz val="9"/>
        <rFont val="Arial"/>
        <family val="2"/>
        <charset val="238"/>
      </rPr>
      <t>ili jednakovrijedan</t>
    </r>
    <r>
      <rPr>
        <sz val="9"/>
        <rFont val="Arial"/>
        <family val="2"/>
        <charset val="238"/>
      </rPr>
      <t>, oznake 16752, proizvođača Schneider Electric</t>
    </r>
  </si>
  <si>
    <r>
      <t xml:space="preserve">Minijaturni automatski prekidač sa VISI-TRIP i VISI-SAFE funkcionalnošću i mogućnošću prigradnje pomoćnog pribora, prekidne moći Icu=10kA kod 415V AC prema IEC/EN 60947-2, tropolni, 32A, C krivulje; 
kao tip Acti9, iC60N </t>
    </r>
    <r>
      <rPr>
        <b/>
        <sz val="9"/>
        <rFont val="Arial"/>
        <family val="2"/>
        <charset val="238"/>
      </rPr>
      <t xml:space="preserve"> ili jednakovrijedan</t>
    </r>
    <r>
      <rPr>
        <sz val="9"/>
        <rFont val="Arial"/>
        <family val="2"/>
        <charset val="238"/>
      </rPr>
      <t>, oznake A9F74332, proizvođača Schneider Electric</t>
    </r>
  </si>
  <si>
    <r>
      <t xml:space="preserve">Minijaturni automatski prekidač sa VISI-TRIP i VISI-SAFE funkcionalnošću i mogućnošću prigradnje pomoćnog pribora, prekidne moći Icu=10kA kod 415V AC prema IEC/EN 60947-2, jednopolni, 32A, C krivulje; 
kao tip Acti9, iC60N </t>
    </r>
    <r>
      <rPr>
        <b/>
        <sz val="9"/>
        <rFont val="Arial"/>
        <family val="2"/>
        <charset val="238"/>
      </rPr>
      <t>ili jednakovrijedan</t>
    </r>
    <r>
      <rPr>
        <sz val="9"/>
        <rFont val="Arial"/>
        <family val="2"/>
        <charset val="238"/>
      </rPr>
      <t>, oznake A9F74132, proizvođača Schneider Electric</t>
    </r>
  </si>
  <si>
    <r>
      <t xml:space="preserve">Minijaturni automatski prekidač sa VISI-TRIP i VISI-SAFE funkcionalnošću i mogućnošću prigradnje pomoćnog pribora, prekidne moći Icu=10kA kod 415V AC prema IEC/EN 60947-2, jednopolni, 6A, C krivulje; 
kao tip Acti9, iC60N </t>
    </r>
    <r>
      <rPr>
        <b/>
        <sz val="9"/>
        <rFont val="Arial"/>
        <family val="2"/>
        <charset val="238"/>
      </rPr>
      <t xml:space="preserve"> ili jednakovrijedan</t>
    </r>
    <r>
      <rPr>
        <sz val="9"/>
        <rFont val="Arial"/>
        <family val="2"/>
        <charset val="238"/>
      </rPr>
      <t>, oznake A9F74106, proizvođača Schneider Electric</t>
    </r>
  </si>
  <si>
    <r>
      <t xml:space="preserve">Minijaturni automatski prekidač sa VISI-TRIP i VISI-SAFE funkcionalnošću i mogućnošću prigradnje pomoćnog pribora, prekidne moći Icu=10kA kod 415V AC prema IEC/EN 60947-2, jednopolni, 4A, C krivulje; 
kao tip Acti9, iC60N </t>
    </r>
    <r>
      <rPr>
        <b/>
        <sz val="9"/>
        <rFont val="Arial"/>
        <family val="2"/>
        <charset val="238"/>
      </rPr>
      <t xml:space="preserve"> ili jednakovrijedan</t>
    </r>
    <r>
      <rPr>
        <sz val="9"/>
        <rFont val="Arial"/>
        <family val="2"/>
        <charset val="238"/>
      </rPr>
      <t>, oznake A9F74104, proizvođača Schneider Electric</t>
    </r>
  </si>
  <si>
    <r>
      <t xml:space="preserve">Minijaturni automatski prekidač sa VISI-TRIP i VISI-SAFE funkcionalnošću i mogućnošću prigradnje pomoćnog pribora, prekidne moći Icu=10kA kod 415V AC prema IEC/EN 60947-2, dvopolni, 40A, C krivulje; 
kao tip Acti9, iC60N  </t>
    </r>
    <r>
      <rPr>
        <b/>
        <sz val="9"/>
        <rFont val="Arial"/>
        <family val="2"/>
        <charset val="238"/>
      </rPr>
      <t>ili jednakovrijedan</t>
    </r>
    <r>
      <rPr>
        <sz val="9"/>
        <rFont val="Arial"/>
        <family val="2"/>
        <charset val="238"/>
      </rPr>
      <t>, oznake A9F74240, proizvođača Schneider Electric</t>
    </r>
  </si>
  <si>
    <r>
      <t xml:space="preserve">Vigi iC60 strujni zaštitni modul, za iC60 minijaturni automatski prekidač, Un= 220-415V AC, AC klasa, 2P, 63/0,03A,
kao tip Acti9, iC60N </t>
    </r>
    <r>
      <rPr>
        <b/>
        <sz val="9"/>
        <rFont val="Arial"/>
        <family val="2"/>
        <charset val="238"/>
      </rPr>
      <t xml:space="preserve"> ili jednakovrijedan</t>
    </r>
    <r>
      <rPr>
        <sz val="9"/>
        <rFont val="Arial"/>
        <family val="2"/>
        <charset val="238"/>
      </rPr>
      <t>, oznake A9V41263, proizvođača Schneider Electric</t>
    </r>
  </si>
  <si>
    <r>
      <t xml:space="preserve">Minijaturni automatski prekidač sa VISI-TRIP i VISI-SAFE funkcionalnošću i mogućnošću prigradnje pomoćnog pribora, dvopolni, 25A, C krivulje; 
kao tip Acti9, iC60N </t>
    </r>
    <r>
      <rPr>
        <b/>
        <sz val="9"/>
        <rFont val="Arial"/>
        <family val="2"/>
        <charset val="238"/>
      </rPr>
      <t xml:space="preserve"> ili jednakovrijedan</t>
    </r>
    <r>
      <rPr>
        <sz val="9"/>
        <rFont val="Arial"/>
        <family val="2"/>
        <charset val="238"/>
      </rPr>
      <t>, oznake A9F74225, proizvođača Schneider Electric</t>
    </r>
  </si>
  <si>
    <r>
      <t xml:space="preserve">Vigi iC60 strujni zaštitni modul, za iC60 minijaturni automatski prekidač, Un= 220-415V AC, AC klasa, 2P, 25/0,03A,
kao tip Acti9, iC60N </t>
    </r>
    <r>
      <rPr>
        <b/>
        <sz val="9"/>
        <rFont val="Arial"/>
        <family val="2"/>
        <charset val="238"/>
      </rPr>
      <t xml:space="preserve"> ili jednakovrijedan</t>
    </r>
    <r>
      <rPr>
        <sz val="9"/>
        <rFont val="Arial"/>
        <family val="2"/>
        <charset val="238"/>
      </rPr>
      <t>, oznake A9V41225, proizvođača Schneider Electric</t>
    </r>
  </si>
  <si>
    <r>
      <t xml:space="preserve">Minijaturni automatski prekidač sa VISI-TRIP i VISI-SAFE funkcionalnošću i mogućnošću prigradnje pomoćnog pribora, četveropolni, 25A, C krivulje; 
kao tip Acti9, iC60N </t>
    </r>
    <r>
      <rPr>
        <b/>
        <sz val="9"/>
        <rFont val="Arial"/>
        <family val="2"/>
        <charset val="238"/>
      </rPr>
      <t xml:space="preserve"> ili jednakovrijedan</t>
    </r>
    <r>
      <rPr>
        <sz val="9"/>
        <rFont val="Arial"/>
        <family val="2"/>
        <charset val="238"/>
      </rPr>
      <t>, oznake A9F74425, proizvođača Schneider Electric</t>
    </r>
  </si>
  <si>
    <r>
      <t xml:space="preserve">Vigi iC60 strujni zaštitni modul, za iC60 minijaturni automatski prekidač, Un= 220-415V AC, AC klasa, 4P, 25/0,03A,
kao tip Acti9, iC60N  </t>
    </r>
    <r>
      <rPr>
        <b/>
        <sz val="9"/>
        <rFont val="Arial"/>
        <family val="2"/>
        <charset val="238"/>
      </rPr>
      <t>ili jednakovrijedan</t>
    </r>
    <r>
      <rPr>
        <sz val="9"/>
        <rFont val="Arial"/>
        <family val="2"/>
        <charset val="238"/>
      </rPr>
      <t>, oznake A9V41425, proizvođača Schneider Electric</t>
    </r>
  </si>
  <si>
    <r>
      <t xml:space="preserve">Minijaturni automatski prekidač sa VISI-TRIP i VISI-SAFE funkcionalnošću i mogućnošću prigradnje pomoćnog pribora, četveropolni, 63A, C krivulje; 
kao tip Acti9, iC60N </t>
    </r>
    <r>
      <rPr>
        <b/>
        <sz val="9"/>
        <rFont val="Arial"/>
        <family val="2"/>
        <charset val="238"/>
      </rPr>
      <t xml:space="preserve"> ili jednakovrijedan</t>
    </r>
    <r>
      <rPr>
        <sz val="9"/>
        <rFont val="Arial"/>
        <family val="2"/>
        <charset val="238"/>
      </rPr>
      <t>, oznake A9F74463, proizvođača Schneider Electric</t>
    </r>
  </si>
  <si>
    <r>
      <t xml:space="preserve">Vigi iC60 strujni zaštitni modul, za iC60 minijaturni automatski prekidač, Un= 220-415V AC, AC klasa, 4P, 63/0,03A,
kao tip Acti9, iC60N  </t>
    </r>
    <r>
      <rPr>
        <b/>
        <sz val="9"/>
        <rFont val="Arial"/>
        <family val="2"/>
        <charset val="238"/>
      </rPr>
      <t>ili jednakovrijedan</t>
    </r>
    <r>
      <rPr>
        <sz val="9"/>
        <rFont val="Arial"/>
        <family val="2"/>
        <charset val="238"/>
      </rPr>
      <t>, oznake A9V41463, proizvođača Schneider Electric</t>
    </r>
  </si>
  <si>
    <r>
      <t xml:space="preserve">Minijaturni automatski prekidač sa VISI-TRIP i VISI-SAFE funkcionalnošću i mogućnošću prigradnje pomoćnog pribora, prekidne moći Icu=10kA kod 415V AC prema IEC/EN 60947-2, jednopolni, 10A, C krivulje; 
kao tip Acti9, iC60N </t>
    </r>
    <r>
      <rPr>
        <b/>
        <sz val="9"/>
        <rFont val="Arial"/>
        <family val="2"/>
        <charset val="238"/>
      </rPr>
      <t xml:space="preserve"> ili jednakovrijedan</t>
    </r>
    <r>
      <rPr>
        <sz val="9"/>
        <rFont val="Arial"/>
        <family val="2"/>
        <charset val="238"/>
      </rPr>
      <t>, oznake A9F74110, proizvođača Schneider Electric</t>
    </r>
  </si>
  <si>
    <r>
      <t xml:space="preserve">Minijaturni automatski prekidač sa VISI-TRIP i VISI-SAFE funkcionalnošću i mogućnošću prigradnje pomoćnog pribora, prekidne moći Icu=10kA kod 415V AC prema IEC/EN 60947-2, jednopolni, 16A, C krivulje; 
kao tip Acti9, iC60N </t>
    </r>
    <r>
      <rPr>
        <b/>
        <sz val="9"/>
        <rFont val="Arial"/>
        <family val="2"/>
        <charset val="238"/>
      </rPr>
      <t xml:space="preserve"> ili jednakovrijedan</t>
    </r>
    <r>
      <rPr>
        <sz val="9"/>
        <rFont val="Arial"/>
        <family val="2"/>
        <charset val="238"/>
      </rPr>
      <t>, oznake A9F74116, proizvođača Schneider Electric</t>
    </r>
  </si>
  <si>
    <r>
      <t xml:space="preserve">Minijaturni automatski prekidač sa VISI-TRIP i VISI-SAFE funkcionalnošću i mogućnošću prigradnje pomoćnog pribora, prekidne moći Icu=10kA kod 415V AC prema IEC/EN 60947-2, tropolni, 16A, C krivulje; 
kao tip Acti9, iC60N  </t>
    </r>
    <r>
      <rPr>
        <b/>
        <sz val="9"/>
        <rFont val="Arial"/>
        <family val="2"/>
        <charset val="238"/>
      </rPr>
      <t>ili jednakovrijedan</t>
    </r>
    <r>
      <rPr>
        <sz val="9"/>
        <rFont val="Arial"/>
        <family val="2"/>
        <charset val="238"/>
      </rPr>
      <t>, oznake A9F74316, proizvođača Schneider Electric</t>
    </r>
  </si>
  <si>
    <r>
      <t xml:space="preserve">Direktno brojilo do 63A, kl. 1, 4 tarife, mjerenje u 4 kvadranta, U, I, P, prikaz vrijednosti, alarm preopterećenja, Modbus, MID certifikat; 
kao tip Acti9, iEM3000 </t>
    </r>
    <r>
      <rPr>
        <b/>
        <sz val="9"/>
        <rFont val="Arial"/>
        <family val="2"/>
        <charset val="238"/>
      </rPr>
      <t xml:space="preserve"> ili jednakovrijedan</t>
    </r>
    <r>
      <rPr>
        <sz val="9"/>
        <rFont val="Arial"/>
        <family val="2"/>
        <charset val="238"/>
      </rPr>
      <t>, oznake A9MEM3155, proizvođača Schneider Electric</t>
    </r>
  </si>
  <si>
    <r>
      <t xml:space="preserve">Sklopka za izmjenu napajanja, 32A, 3P, I - 0 - II; 
kao tip Sirco </t>
    </r>
    <r>
      <rPr>
        <b/>
        <sz val="9"/>
        <rFont val="Arial"/>
        <family val="2"/>
        <charset val="238"/>
      </rPr>
      <t xml:space="preserve"> ili jednakovrijedan</t>
    </r>
    <r>
      <rPr>
        <sz val="9"/>
        <rFont val="Arial"/>
        <family val="2"/>
        <charset val="238"/>
      </rPr>
      <t>, oznake 22003003 + 22001001 + 22096009, proizvođača Socomec</t>
    </r>
  </si>
  <si>
    <r>
      <t xml:space="preserve">Dobava, montaža, spajanje do pune funkcionalnosti, prema jednopolnoj shemi. Ormar za modularnu opremu i priključna mjesta Kaedra, 12 modula, 6 otvora, 3 x 2P-E + 1 x 16A 3P-N-E + 1 x 32A 3P-N-E + 2 x RJ45 Cat6
oznaka na crtežu - G, kao tip Kaedra </t>
    </r>
    <r>
      <rPr>
        <b/>
        <sz val="9"/>
        <rFont val="Arial"/>
        <family val="2"/>
        <charset val="238"/>
      </rPr>
      <t xml:space="preserve"> ili jednakovrijedan</t>
    </r>
    <r>
      <rPr>
        <sz val="9"/>
        <rFont val="Arial"/>
        <family val="2"/>
        <charset val="238"/>
      </rPr>
      <t>, Schneider Electric</t>
    </r>
  </si>
  <si>
    <r>
      <t xml:space="preserve">Snaga 60W, Temperatura svjetlosti 4000K, Polikarbonatno kućište, Životni vijek&gt;50000h, Svjetlosni tok minimalno 6300lm, Nadgradna montaža, DALI upravljiva. Proizvođač: Detas                                                         Tip kao: Kes Strip V4 150N  </t>
    </r>
    <r>
      <rPr>
        <b/>
        <sz val="9"/>
        <rFont val="Arial"/>
        <family val="2"/>
        <charset val="238"/>
      </rPr>
      <t>ili jednakovrijedan</t>
    </r>
    <r>
      <rPr>
        <sz val="9"/>
        <rFont val="Arial"/>
        <family val="2"/>
        <charset val="238"/>
      </rPr>
      <t>; oznaka</t>
    </r>
    <r>
      <rPr>
        <sz val="10"/>
        <rFont val="Arial"/>
        <family val="2"/>
        <charset val="238"/>
      </rPr>
      <t xml:space="preserve"> na crtežu - 1</t>
    </r>
  </si>
  <si>
    <r>
      <t xml:space="preserve">Snaga 25W, Temperatura svjetlosti 4000K, Polikarbonatno kućište, Životni vijek&gt;50000h, Svjetlosni tok minimalno 2625lm, Nadgradna montaža, DALI upravljiva. Proizvođač: Detas                                                         Tip kao: Kes Strip V4 60N  </t>
    </r>
    <r>
      <rPr>
        <b/>
        <sz val="9"/>
        <rFont val="Arial"/>
        <family val="2"/>
        <charset val="238"/>
      </rPr>
      <t>ili jednakovrijedan</t>
    </r>
    <r>
      <rPr>
        <sz val="9"/>
        <rFont val="Arial"/>
        <family val="2"/>
        <charset val="238"/>
      </rPr>
      <t>; oznaka na crtežu - 2</t>
    </r>
  </si>
  <si>
    <r>
      <t>Snaga 40W, Temperatura svjetlosti 4000K,  aluminijsko kućište, Životni vijek&gt;50000h, Svjetlosni tok minimalno 3500lm, Ugradna montaža, DALI upravljiva, Proizvođač: Detas                                                      Tip kao: Praxis LLC 60x60 40N</t>
    </r>
    <r>
      <rPr>
        <b/>
        <sz val="9"/>
        <rFont val="Arial"/>
        <family val="2"/>
        <charset val="238"/>
      </rPr>
      <t xml:space="preserve"> ili jednakovrijedan</t>
    </r>
    <r>
      <rPr>
        <sz val="9"/>
        <rFont val="Arial"/>
        <family val="2"/>
        <charset val="238"/>
      </rPr>
      <t>; oznaka na crtežu - 3</t>
    </r>
  </si>
  <si>
    <r>
      <t>Snaga:15W, Temperatura svjetlosti 4000K, Aluminijsko kućište, Životni vijek L70&gt;50000h, Svjetlosni tok minimalno 1200lm, Ugradna montaža, DALI upravljiva. Proizvođač: Detas                                                       Tip kao: Coba LLC 15 N 60</t>
    </r>
    <r>
      <rPr>
        <b/>
        <sz val="9"/>
        <rFont val="Arial"/>
        <family val="2"/>
        <charset val="238"/>
      </rPr>
      <t xml:space="preserve"> ili jednakovrijedan</t>
    </r>
    <r>
      <rPr>
        <sz val="9"/>
        <rFont val="Arial"/>
        <family val="2"/>
        <charset val="238"/>
      </rPr>
      <t>; oznaka na crtežu - 4</t>
    </r>
  </si>
  <si>
    <r>
      <t xml:space="preserve">Svjetiljka za vanjsku rasvjetu, LED izvor svjetlosti, metalno kućište sa zakretnim nosačem, silikonska brtva, asimetrična optika, svjetlosni tok min. 4712 lm, snaga sistema max. 39W (LED izvor+driver), ukupna svjetlosna iskoristivost svjetiljke min. 120 lm/W, Ra&gt;80, temperatura boje svjetlosti 4000K, životni vijek za 70% nominalnog svjetlosnog toka 150 000h, zaštita IP66, IK07, Tip kao: SBP GUELL 1/A40/W 40 40K-94 ETRC 220-240V </t>
    </r>
    <r>
      <rPr>
        <b/>
        <sz val="9"/>
        <rFont val="Arial"/>
        <family val="2"/>
        <charset val="238"/>
      </rPr>
      <t xml:space="preserve"> ili jednakovrijedan</t>
    </r>
    <r>
      <rPr>
        <sz val="9"/>
        <rFont val="Arial"/>
        <family val="2"/>
        <charset val="238"/>
      </rPr>
      <t>, oznaka na crtežu - B2</t>
    </r>
  </si>
  <si>
    <r>
      <t xml:space="preserve">Vanjska LED svjetiljka za montažu na stup ф62mm, kućište svjetiljke izrađeno od aluminija, nasadnik izrađen od tlačno lijevanog aluminija, optički sustava načinjen od PC leća, simetrična optika DS, ULOR max 1%, ukupni svjetlosni tok izvora svjetlosti min. 4309lm, snaga sistema svjetiljke max 38 W (LED izvor+driver), svjetlosna iskoristivost svjetiljke LOR min. 79%, svjetlotehnička iskoristivost svjetiljke min 113 lm/W, boja svjetlosti 4000K, uzvrat boje Ra&gt;80, zaštita od zaprljanja IP66, mehanička otpornost IK10, životni vijek 70 000 sati (uz L80F10), udarna struja pokretanja max 70A pri Tref=0,12 ms, električna klasa II, Tip kao: Philips TownGuide Core BDP001 ECO50/840 DS PCC </t>
    </r>
    <r>
      <rPr>
        <b/>
        <sz val="9"/>
        <rFont val="Arial"/>
        <family val="2"/>
        <charset val="238"/>
      </rPr>
      <t>ili jednakovrijedan</t>
    </r>
    <r>
      <rPr>
        <sz val="9"/>
        <rFont val="Arial"/>
        <family val="2"/>
        <charset val="238"/>
      </rPr>
      <t>, oznaka na crtežu - B1</t>
    </r>
  </si>
  <si>
    <r>
      <t>Nadgradna kanalica za montažu na stol, 6 modula, 3 x 230V, 16A  + UPS 2 x 230V, 16A + 2 x RJ45 Cat6, oznaka na crtežu - A
kao tip Altira</t>
    </r>
    <r>
      <rPr>
        <b/>
        <sz val="9"/>
        <rFont val="Arial"/>
        <family val="2"/>
        <charset val="238"/>
      </rPr>
      <t xml:space="preserve"> ili jednakovrijedan</t>
    </r>
    <r>
      <rPr>
        <sz val="9"/>
        <rFont val="Arial"/>
        <family val="2"/>
        <charset val="238"/>
      </rPr>
      <t>, proizvođača Schneider Electric</t>
    </r>
  </si>
  <si>
    <r>
      <t>Parapetna kanalica za montažu na stol, 8 modula, 3 x 230V, 16A  + UPS 2 x 230V, 16A + 1 x USB + 1 x HDMI + 4 x RJ45 Cat6, oznaka na crtežu - B
kao tip Altira</t>
    </r>
    <r>
      <rPr>
        <b/>
        <sz val="9"/>
        <rFont val="Arial"/>
        <family val="2"/>
        <charset val="238"/>
      </rPr>
      <t xml:space="preserve"> ili jednakovrijedan</t>
    </r>
    <r>
      <rPr>
        <sz val="9"/>
        <rFont val="Arial"/>
        <family val="2"/>
        <charset val="238"/>
      </rPr>
      <t>, proizvođača Schneider Electric</t>
    </r>
  </si>
  <si>
    <r>
      <t xml:space="preserve">Zidna utičnica, 3 modula, 2 x 230V, 16A  + 2 x RJ45 Cat6, oznaka na crtežu - C
kao tip Altira </t>
    </r>
    <r>
      <rPr>
        <b/>
        <sz val="9"/>
        <rFont val="Arial"/>
        <family val="2"/>
        <charset val="238"/>
      </rPr>
      <t>ili jednakovrijedan,</t>
    </r>
    <r>
      <rPr>
        <sz val="9"/>
        <rFont val="Arial"/>
        <family val="2"/>
        <charset val="238"/>
      </rPr>
      <t xml:space="preserve"> proizvođača Schneider Electric</t>
    </r>
  </si>
  <si>
    <r>
      <t xml:space="preserve">Zidna utičnica, 2 modula, UPS 2 x 230V, 16A, 
 oznaka na crtežu - D, kao tip Altira </t>
    </r>
    <r>
      <rPr>
        <b/>
        <sz val="9"/>
        <rFont val="Arial"/>
        <family val="2"/>
        <charset val="238"/>
      </rPr>
      <t>ili jednakovrijedan</t>
    </r>
    <r>
      <rPr>
        <sz val="9"/>
        <rFont val="Arial"/>
        <family val="2"/>
        <charset val="238"/>
      </rPr>
      <t>, proizvođača Schneider Electric</t>
    </r>
  </si>
  <si>
    <r>
      <t>Zidna utičnica, 2 modula, 2 x 230V, 16A, 
kao tip Altira</t>
    </r>
    <r>
      <rPr>
        <b/>
        <sz val="9"/>
        <rFont val="Arial"/>
        <family val="2"/>
        <charset val="238"/>
      </rPr>
      <t xml:space="preserve"> ili jednakovrijedan</t>
    </r>
    <r>
      <rPr>
        <sz val="9"/>
        <rFont val="Arial"/>
        <family val="2"/>
        <charset val="238"/>
      </rPr>
      <t>, oznaka na crtežu - E, proizvođača Schneider Electric</t>
    </r>
  </si>
  <si>
    <r>
      <t>Zidna utičnica,  2 modula, 1x230V, 16A, kao tip Altira</t>
    </r>
    <r>
      <rPr>
        <b/>
        <sz val="9"/>
        <rFont val="Arial"/>
        <family val="2"/>
        <charset val="238"/>
      </rPr>
      <t xml:space="preserve"> ili jednakovrijedan</t>
    </r>
    <r>
      <rPr>
        <sz val="9"/>
        <rFont val="Arial"/>
        <family val="2"/>
        <charset val="238"/>
      </rPr>
      <t>, proizvođača Schneider Electric</t>
    </r>
  </si>
  <si>
    <r>
      <t xml:space="preserve">Zidna utičnica,  2 modula, 1x230V sa poklopcem, 16A, kao tip Altira </t>
    </r>
    <r>
      <rPr>
        <b/>
        <sz val="9"/>
        <rFont val="Arial"/>
        <family val="2"/>
        <charset val="238"/>
      </rPr>
      <t>ili jednakovrijedan</t>
    </r>
    <r>
      <rPr>
        <sz val="9"/>
        <rFont val="Arial"/>
        <family val="2"/>
        <charset val="238"/>
      </rPr>
      <t>, proizvođača Schneider Electric</t>
    </r>
  </si>
  <si>
    <r>
      <t xml:space="preserve">Zidna nadžbukna trofazna industrijska priključnica 3P+N+PE, 380-415V~, 16A, IP55, proizvođača Schneider Electric </t>
    </r>
    <r>
      <rPr>
        <b/>
        <sz val="9"/>
        <rFont val="Arial"/>
        <family val="2"/>
        <charset val="238"/>
      </rPr>
      <t xml:space="preserve"> ili jednakovrijedan</t>
    </r>
  </si>
  <si>
    <r>
      <t>Dobava, montaža i ugradnja podna kutije prije izrade glazure za 6 modula, 5 x 230V, 16A, + 2 x RJ45 Cat6,  oznaka na crtežu - F
kao tip Altira</t>
    </r>
    <r>
      <rPr>
        <b/>
        <sz val="9"/>
        <rFont val="Arial"/>
        <family val="2"/>
        <charset val="238"/>
      </rPr>
      <t xml:space="preserve"> ili jednakovrijedan</t>
    </r>
    <r>
      <rPr>
        <sz val="9"/>
        <rFont val="Arial"/>
        <family val="2"/>
        <charset val="238"/>
      </rPr>
      <t>, proizvođača Schneider Electric</t>
    </r>
  </si>
  <si>
    <r>
      <t xml:space="preserve">Dobava, montaža i spajanje tipkala za isklop razdjelnice u nuždi, za unutarnju montažu kao tip RJP 01 </t>
    </r>
    <r>
      <rPr>
        <b/>
        <sz val="9"/>
        <rFont val="Arial"/>
        <family val="2"/>
        <charset val="238"/>
      </rPr>
      <t xml:space="preserve"> ili jednakovrijedan</t>
    </r>
    <r>
      <rPr>
        <sz val="9"/>
        <rFont val="Arial"/>
        <family val="2"/>
        <charset val="238"/>
      </rPr>
      <t>, proizvođača PRODUKTRONIKA</t>
    </r>
  </si>
  <si>
    <r>
      <t xml:space="preserve">Dobava, montaža i spajanje Električnog bojlera 10L, donja montaža - VAILLANT VEN 10/5 U, P=2kW, 230V, 50Hz </t>
    </r>
    <r>
      <rPr>
        <b/>
        <sz val="9"/>
        <rFont val="Arial"/>
        <family val="2"/>
        <charset val="238"/>
      </rPr>
      <t>ili jednakovrijedan</t>
    </r>
    <r>
      <rPr>
        <sz val="9"/>
        <rFont val="Arial"/>
        <family val="2"/>
        <charset val="238"/>
      </rPr>
      <t>.</t>
    </r>
  </si>
  <si>
    <r>
      <t xml:space="preserve">Dobava, montaža, spajanje i parametriranje stupne izvedbe stanice, za upotrebu na javnim površinama, jedna utičnica tipa 2 s poklopcem (T2S) s posrebrenim kontaktima snage 7 kW (230 VAC) / 22 kW (400 VAC), jedna šuko utičnica s poklopcem snage 2,3 kW (230 VAC), mogućnost nadogradnje dodatnog punjača na isti stup, kontrolirani pristup (RFID), s uključenim stupom, Modbus TCP/IP komunikacija, OCPP nadzor, otporan na vodu i udarce, jamstvo 24 mjeseca; 
kao tip EVlink </t>
    </r>
    <r>
      <rPr>
        <b/>
        <sz val="9"/>
        <rFont val="Arial"/>
        <family val="2"/>
        <charset val="238"/>
      </rPr>
      <t>ili jednakovrijedan</t>
    </r>
    <r>
      <rPr>
        <sz val="9"/>
        <rFont val="Arial"/>
        <family val="2"/>
        <charset val="238"/>
      </rPr>
      <t>, oznake EVB1A22P4ERI, proizvođača Schneider Electric</t>
    </r>
  </si>
  <si>
    <r>
      <t xml:space="preserve">tip uređaja: TVR-4008-1TEA proizvođača General Electric </t>
    </r>
    <r>
      <rPr>
        <b/>
        <sz val="9"/>
        <rFont val="Arial"/>
        <family val="2"/>
        <charset val="238"/>
      </rPr>
      <t>ili jednakovrijedan</t>
    </r>
  </si>
  <si>
    <r>
      <t>tip uređaja: UVD-EVRDNR-VA2-P proizvođača General Electric</t>
    </r>
    <r>
      <rPr>
        <b/>
        <sz val="9"/>
        <rFont val="Arial"/>
        <family val="2"/>
        <charset val="238"/>
      </rPr>
      <t xml:space="preserve"> ili jednakovrijedan</t>
    </r>
  </si>
  <si>
    <r>
      <t xml:space="preserve">tip uređaja: TVC-BIR6-MR-P proizvođača General Electric </t>
    </r>
    <r>
      <rPr>
        <b/>
        <sz val="9"/>
        <rFont val="Arial"/>
        <family val="2"/>
        <charset val="238"/>
      </rPr>
      <t>ili jednakovrijedan</t>
    </r>
  </si>
  <si>
    <r>
      <t xml:space="preserve">tip uređaja: KTP-12DCU proizvođača General Electric </t>
    </r>
    <r>
      <rPr>
        <b/>
        <sz val="9"/>
        <rFont val="Arial"/>
        <family val="2"/>
        <charset val="238"/>
      </rPr>
      <t>ili jednakovrijedan</t>
    </r>
  </si>
  <si>
    <r>
      <t>tip uređaja:G225HQVbd proizvođača ACER</t>
    </r>
    <r>
      <rPr>
        <b/>
        <sz val="9"/>
        <rFont val="Arial"/>
        <family val="2"/>
        <charset val="238"/>
      </rPr>
      <t xml:space="preserve"> ili jednakovrijedan</t>
    </r>
  </si>
  <si>
    <r>
      <t xml:space="preserve">tip uređaja: KSA701-1  proizvođača General Electric </t>
    </r>
    <r>
      <rPr>
        <b/>
        <sz val="9"/>
        <rFont val="Arial"/>
        <family val="2"/>
        <charset val="238"/>
      </rPr>
      <t>ili jednakovrijedan</t>
    </r>
  </si>
  <si>
    <r>
      <t xml:space="preserve">tip uređaja: BS127N  proizvođača General Electric </t>
    </r>
    <r>
      <rPr>
        <b/>
        <sz val="9"/>
        <rFont val="Arial"/>
        <family val="2"/>
        <charset val="238"/>
      </rPr>
      <t>ili jednakovrijedan</t>
    </r>
  </si>
  <si>
    <r>
      <t>tip uređaja: O19044  proizvođača Honeywell</t>
    </r>
    <r>
      <rPr>
        <b/>
        <sz val="9"/>
        <rFont val="Arial"/>
        <family val="2"/>
        <charset val="238"/>
      </rPr>
      <t xml:space="preserve"> ili jednakovrijedan</t>
    </r>
  </si>
  <si>
    <r>
      <t>tip uređaja: ACA001  proizvođača General Electric</t>
    </r>
    <r>
      <rPr>
        <b/>
        <sz val="9"/>
        <rFont val="Arial"/>
        <family val="2"/>
        <charset val="238"/>
      </rPr>
      <t xml:space="preserve"> ili jednakovrijedan</t>
    </r>
  </si>
  <si>
    <r>
      <t>tip uređaja: TP-MFC-ISO-25PK  proizvođača General Electric</t>
    </r>
    <r>
      <rPr>
        <b/>
        <sz val="9"/>
        <rFont val="Arial"/>
        <family val="2"/>
        <charset val="238"/>
      </rPr>
      <t xml:space="preserve"> ili jednakovrijedan</t>
    </r>
  </si>
  <si>
    <r>
      <t xml:space="preserve">DEVIreg 850™ inteligentni sustav za grijanje vodolovnih okana, 230V, 50Hz </t>
    </r>
    <r>
      <rPr>
        <b/>
        <sz val="9"/>
        <rFont val="Arial"/>
        <family val="2"/>
        <charset val="238"/>
      </rPr>
      <t xml:space="preserve"> ili jednakovrijedan</t>
    </r>
  </si>
  <si>
    <r>
      <t xml:space="preserve">Grijači kabel konstantne snage za grijanje oluka i oborinskih vertikala snage 20 W/m (230 V) dužine 17 m, kao DEVIsafe 20T </t>
    </r>
    <r>
      <rPr>
        <b/>
        <sz val="9"/>
        <rFont val="Arial"/>
        <family val="2"/>
        <charset val="238"/>
      </rPr>
      <t>ili jednakovrijedan</t>
    </r>
  </si>
  <si>
    <r>
      <t xml:space="preserve">Osjetnik vlage i temperature za Devireg 850 </t>
    </r>
    <r>
      <rPr>
        <b/>
        <sz val="9"/>
        <rFont val="Arial"/>
        <family val="2"/>
        <charset val="238"/>
      </rPr>
      <t>ili jednakovrijedan</t>
    </r>
  </si>
  <si>
    <r>
      <t xml:space="preserve">Vodič ALU promjera Ø8 mm za izradu hvataljki na krovu i spojeva metalnih masa. Prema EN 62561-2, 62305, DIN 48801. 
Kao OBO 
tip RD 8-ALU,
Ref. 5021286 </t>
    </r>
    <r>
      <rPr>
        <b/>
        <sz val="9"/>
        <rFont val="Arial"/>
        <family val="2"/>
        <charset val="238"/>
      </rPr>
      <t>ili jednakovrijedan</t>
    </r>
  </si>
  <si>
    <r>
      <t xml:space="preserve">Dilatacijska spojnica Alu u slučaju razmaka večih od 20m. 
Kao OBO  
tip 172 AR
Ref: 5218926 </t>
    </r>
    <r>
      <rPr>
        <b/>
        <sz val="9"/>
        <rFont val="Arial"/>
        <family val="2"/>
        <charset val="238"/>
      </rPr>
      <t>ili jednakovrijedan</t>
    </r>
  </si>
  <si>
    <r>
      <t xml:space="preserve">Nosač krovne instalacije za montažu na sljemenski lim Rd 8-10, Unutrašnji navoj M8. Zink/GUS. Montaža sa razmakom 0,7m.  
Kao OBO 
tip 113 Z8-10.
Ref: 5229960 </t>
    </r>
    <r>
      <rPr>
        <b/>
        <sz val="9"/>
        <rFont val="Arial"/>
        <family val="2"/>
        <charset val="238"/>
      </rPr>
      <t xml:space="preserve"> ili jednakovrijedan</t>
    </r>
  </si>
  <si>
    <r>
      <t>Nosač prihvatnih vodiča-žice žice promjera  Ø8 mm. Za ravne krovove. Nosač je izrađen od betona težine 1 kg obloženog polietilenom. Montaža sa razmakom 0,7m. Preporuka; na kosom krovu dodatno zalijepiti za podlogu.
Kao OBO 
tip 165 MBG-8
Ref: 5218691</t>
    </r>
    <r>
      <rPr>
        <b/>
        <sz val="9"/>
        <rFont val="Arial"/>
        <family val="2"/>
        <charset val="238"/>
      </rPr>
      <t xml:space="preserve"> ili jednakovrijedan</t>
    </r>
  </si>
  <si>
    <r>
      <t>Spojnica od nehrđajućeg čelika kvalitete V2A za izvođenje  križanja ili nastavljanja žice na krovu i za spajanje krovne hvataljke na odvode objekta. Montažni vijak M10x30. Prema normi HR 62305. 
Kao OBO 
tip 249 8-10 VA
Ref: 5311551</t>
    </r>
    <r>
      <rPr>
        <b/>
        <sz val="9"/>
        <rFont val="Arial"/>
        <family val="2"/>
        <charset val="238"/>
      </rPr>
      <t xml:space="preserve"> ili jednakovrijedan</t>
    </r>
  </si>
  <si>
    <r>
      <t>Priključna stezaljka 8 do 14mm razmaka profila, na Rd 8-10. Vruće pocinčano. Montažni vijak 4xM8 šesterokut. Prema normi HR 62305.  Kao OBO 
tip 272 14
Ref: 5318149</t>
    </r>
    <r>
      <rPr>
        <b/>
        <sz val="9"/>
        <rFont val="Arial"/>
        <family val="2"/>
        <charset val="238"/>
      </rPr>
      <t xml:space="preserve"> ili jednakovrijedan</t>
    </r>
  </si>
  <si>
    <r>
      <t xml:space="preserve">Stezaljka za spajanje krovnog rubnog lima na sustav hvataljke na krovu. 
Kao OBO
tip 271 8-10
Ref: 5317401 </t>
    </r>
    <r>
      <rPr>
        <b/>
        <sz val="9"/>
        <rFont val="Arial"/>
        <family val="2"/>
        <charset val="238"/>
      </rPr>
      <t xml:space="preserve"> ili jednakovrijedan</t>
    </r>
  </si>
  <si>
    <r>
      <t>Traka dužine 190mm za prespajanje krovnih rubnih limova za osiguravanje kvalitetnog spoja.  Traka je izrađena od bakra 35 mm². 
Kao OBO 
tip 856
Ref: 5331501</t>
    </r>
    <r>
      <rPr>
        <b/>
        <sz val="9"/>
        <rFont val="Arial"/>
        <family val="2"/>
        <charset val="238"/>
      </rPr>
      <t xml:space="preserve"> ili jednakovrijedan</t>
    </r>
  </si>
  <si>
    <r>
      <t>Spojnica za spajanje svih metalnih masa na krovu objekta. 
Kao OBO 
tip: 5005 DIN-FT
Ref: 5304601</t>
    </r>
    <r>
      <rPr>
        <b/>
        <sz val="9"/>
        <rFont val="Arial"/>
        <family val="2"/>
        <charset val="238"/>
      </rPr>
      <t xml:space="preserve"> ili jednakovrijedan</t>
    </r>
  </si>
  <si>
    <r>
      <t xml:space="preserve">Obujmice za odvod kišnice fi 110mm, pocinčani obojeni
kao OBO
tip: 301 DIN 110
Ref: 5350115 </t>
    </r>
    <r>
      <rPr>
        <b/>
        <sz val="9"/>
        <rFont val="Arial"/>
        <family val="2"/>
        <charset val="238"/>
      </rPr>
      <t>ili jednakovrijedan</t>
    </r>
  </si>
  <si>
    <r>
      <t>Čelična pocinčana traka dimenzije 30x3,5mm od krovnih hvataljki do mjernog spoja u betonu. 
Kao OBO-Bettermann 
tip 5052 DIN 30x3,5.
Ref: 5019345</t>
    </r>
    <r>
      <rPr>
        <b/>
        <sz val="9"/>
        <rFont val="Arial"/>
        <family val="2"/>
        <charset val="238"/>
      </rPr>
      <t xml:space="preserve"> ili jednakovrijedan</t>
    </r>
  </si>
  <si>
    <r>
      <t>Nosač  sa postoljem  Zn/gus; za  plosnate trake do 30mm promjera. Unutrašnji navoj M8. 
Kao OBO 
tip 113 BZ-HD-FL,
Ref: 5230462</t>
    </r>
    <r>
      <rPr>
        <b/>
        <sz val="9"/>
        <rFont val="Arial"/>
        <family val="2"/>
        <charset val="238"/>
      </rPr>
      <t xml:space="preserve"> ili jednakovrijedan</t>
    </r>
  </si>
  <si>
    <r>
      <t>Rastavni-mjerni spoj. Spajanje na žicu  Ø8-10 mm i trake 30-40mm. Nehrđajući čelik V2A. Spajanje: 2xM8x20
Kao OBO
tip: 233 A VA
Ref: 5336457</t>
    </r>
    <r>
      <rPr>
        <b/>
        <sz val="9"/>
        <rFont val="Arial"/>
        <family val="2"/>
        <charset val="238"/>
      </rPr>
      <t xml:space="preserve"> ili jednakovrijedan</t>
    </r>
  </si>
  <si>
    <r>
      <t>Rastavni-mjerni spoj u podu-gazištu, gus, crno lakiran, bez rastavne spojnice, opterečenje do 4t.
Kao OBO
tip: 5700
Ref: 5106002</t>
    </r>
    <r>
      <rPr>
        <b/>
        <sz val="9"/>
        <rFont val="Arial"/>
        <family val="2"/>
        <charset val="238"/>
      </rPr>
      <t xml:space="preserve"> ili jednakovrijedan</t>
    </r>
  </si>
  <si>
    <r>
      <t>Čelična pocinčana traka dimenzije 30x3,5mm za izvođenje prstenastog uzemljenja. 
Kao OBO-Bettermann
tip 5052 DIN 30x3,5.
Ref: 5019345</t>
    </r>
    <r>
      <rPr>
        <b/>
        <sz val="9"/>
        <rFont val="Arial"/>
        <family val="2"/>
        <charset val="238"/>
      </rPr>
      <t xml:space="preserve"> ili jednakovrijedan</t>
    </r>
  </si>
  <si>
    <r>
      <t>Traka od nehrđajućek čelika V2A, dimenzije 30x3,5mm za izvođenje temeljnog  uzemljenja. Prema EN 62561-2 i 62305.
Kao OBO 
tip:  5052 DIN 30x3,5.
Ref: 5018501</t>
    </r>
    <r>
      <rPr>
        <b/>
        <sz val="9"/>
        <rFont val="Arial"/>
        <family val="2"/>
        <charset val="238"/>
      </rPr>
      <t xml:space="preserve"> ili jednakovrijedan</t>
    </r>
  </si>
  <si>
    <r>
      <t xml:space="preserve">Spojnica za križno povezivanje čelična pocinčane trake prstenastog uzemljivača. Kao OBO tip 256 A-DIN 30 FT </t>
    </r>
    <r>
      <rPr>
        <b/>
        <sz val="9"/>
        <rFont val="Arial"/>
        <family val="2"/>
        <charset val="238"/>
      </rPr>
      <t>ili jednakovrijedan</t>
    </r>
  </si>
  <si>
    <r>
      <t xml:space="preserve">Spojnica za križno povezivanje čelične trake, pocinčano željezo FT. 
Kao OBO 
tip 1814 FT
Ref: 5014468 </t>
    </r>
    <r>
      <rPr>
        <b/>
        <sz val="9"/>
        <rFont val="Arial"/>
        <family val="2"/>
        <charset val="238"/>
      </rPr>
      <t>ili jednakovrijedan</t>
    </r>
  </si>
  <si>
    <r>
      <t>Obujmice cjevne 15-17mm, priključni vodič do 16mm2
Kao OBO
tip: 925,375
Ref: 5040051</t>
    </r>
    <r>
      <rPr>
        <b/>
        <sz val="9"/>
        <rFont val="Arial"/>
        <family val="2"/>
        <charset val="238"/>
      </rPr>
      <t xml:space="preserve"> ili jednakovrijedan</t>
    </r>
  </si>
  <si>
    <r>
      <t>Obujmice cjevne 24-27mm Priključni vodič do 16mm2
Kao OBO
tip: 925,375
Ref: 5040051</t>
    </r>
    <r>
      <rPr>
        <b/>
        <sz val="9"/>
        <rFont val="Arial"/>
        <family val="2"/>
        <charset val="238"/>
      </rPr>
      <t xml:space="preserve"> ili jednakovrijedan</t>
    </r>
  </si>
  <si>
    <r>
      <t xml:space="preserve">Dobava, montaža i spajanje sabirnice za izjednačenje potencijala s metalnim nožicama prema DIN VDE 0100-410/-540 kao i uzemljenja prema DIN VDE 0185-305
Mogućnosti priključaka:
• 7 jednožičanih ili višežičanih vodiča do 25 mm² ili finožičanih vodiče do 16 mm²
• 1 okrugli vodič Rd 8-10
• 1 plosnati vodič do FL30 ili okrugli vodič Rd 8-10
• Poklopac od sivog polistirola
• Podnožje od čelika, pocinčano
• Kontaktna šina od mjedi, niklano
• Vijci i premosnik od čelika, galvanski pocinčani
• Opteretivost strujom munje 100 kA (10/350) •   Tip kao Obo Betterman,  5015081 </t>
    </r>
    <r>
      <rPr>
        <b/>
        <sz val="9"/>
        <rFont val="Arial"/>
        <family val="2"/>
        <charset val="238"/>
      </rPr>
      <t>ili jednakovrijedan</t>
    </r>
  </si>
  <si>
    <t>Nabava, doprema na gradilište i montaža zidnih protupožarnih hidranata HRN EN 671–2 ili jednakovrijedno komplet s pripadajućom opremom:
 - tlačna cijev Ø 52 dužine 20 m sa spojnicama
 - kutni ventil Ms 2" sa stabilnom spojnicom (Al) Ø 52 mm
 - mlaznica Ø 52 mm Al sa zasunom
 - okretni nastavak Ms2"
Obračun po kompletno ugrađenom hidrantu.</t>
  </si>
  <si>
    <t>Cijevi je potrebno očistiti od grubih i finih nečistoća, zaštiti premazima temeljne boje otporne na povišenu temperaturu te toplinski izolirati staklenom vunom debljine 3 cm u oblozi Al- lima 1 mm.</t>
  </si>
  <si>
    <t xml:space="preserve">         5.3. ZAJEDNIČKE STAVKE</t>
  </si>
  <si>
    <t>Kod troškovničkih stavki kod kojih je naveden proizvođač/marka/tip opreme ili uređaja /norme/standardi/licence dozvoljeno je ponuditi jednakovrijednu robu. Ako pored naziva nije naveden izraz „ili jednakovrijedno“, i u tom slučaju je dozvoljeno ponuditi jednakovrijedan proizvod.</t>
  </si>
  <si>
    <t>parna brana kao Sarnavap 1000E ili jednakovrijedno</t>
  </si>
  <si>
    <t xml:space="preserve">Razdjelni sloj kao Sika Glassmat G120 ili jednakovrijedan </t>
  </si>
  <si>
    <t xml:space="preserve">PVC membrana kao Sikaplan SGmA ili jednakovrijedan </t>
  </si>
  <si>
    <t>Nabava, dobava i ugradnja tipskog spuštenog stropa tipa kao armstrong ili jedankovrijedan u rasteru od aluminijskog bijelog lima vel.60x60 cm. Spojeve s okolnim zidovima silikonirati akrilom. Ovješenje potrebnim visilicama na u stropu. SPUŠTENI STROPOVI</t>
  </si>
  <si>
    <t>Ponuđeno:</t>
  </si>
  <si>
    <t>Priprema, dobava i izrada do pune funkcije epoxy portukliznog poda, u skladištu, debljine 3-3,5mm, kao "MAPEFLOOR SISTEM 32" ili jednakovrijedan. Priprema podloge strojno kugličnim sačmarenjem ili brušenjem. Priprema se izvodi u svrhu uklanjanja cementne skramice, ostataka ulja i drugih nečistoća. U cijeni je uklanjanje prašine postupkom usisavanja, a sve zbog potrebne prionjivosti podne obloge za podlogu (vlačna čvrstoća min. 1,5 N/mm) m2. Podni sustav na bazi epoxydne smole kao MAPEFLOOR I300SL (Mapei) ili jednakovrijedno,  koja je u klasificirana kao SR-B2.0-Bf-s1 i u skladu s normom HRN EN 13813 ili jednakovrijedno, protuklizan te otporan na mehanička oštećenja, otporan na soli i kemikalije. Temeljni sloj sustava se izvodi nanošenjem dvokomponentnog epoksidnog premaza bez otapala kao PRIMER SN (Mapei) ili jednakovrijedno, dok je proizvod još svjež, posipati sa kvarcnim pijeskom granulacije 0,5, kao QUARTZO 0,5 (MAPEI) ili jednakovrijedno do punog zasićenja.</t>
  </si>
  <si>
    <t>Na tako pripremljenu podlogu izvodi se nanošenje 1. sloja epoksidne smole bez otapala kao MAPEFLOOR I300SL (Mapei) ili jednakovrijedno, zamiješene sa kvarcnim pijeskom granulacije 0,25 kao QUARTZO 0,25 (MAPEI) ili jednakovrijedno i dok je proizvod još svjež, posipava se kvarcnim pijeskom granulacije 0,5 kao QUARTZO 0,5 (MAPEI) ili jednakovrijedno do punog zasićenja, cca. 3kg/m2 posip. Na pripremljenu podlogu sa 1. slojem epoxy smole kao MAPEFLOOR I300SL ili jednakovrijedno izvodi se nanošenje 2. sloja epoksidne smole bez otapala kao MAPEFLOOR I300SL (Mapei) ili jednakovrijedno, zamiješane sa pigmetnom kao MAPECOLOR PASTE ili jednakovrijedno. (RAL i izvedba po odabiru projektanta). Zaštita podnog sustava PU-alifatičnim lakom u vodenoj disperziji kao MAPEFLOOR FINISH 58W (MAPEI) ili jednakovrijedno. Prije postave obavezno prekontrolirati vlagu u podlozi, kvalitetu podloge i ostale uvjete na gradilištu potrebne za nesmetanu i kvalitetnu postavu. Sve ostalo prema uputama proizvođača i prema pravilima za ljevane podove. Obradu dilatacijskih reški izvesti jednokomponentnom brtvećom poliuretanskom masom kao MAPEFLEX  PU45 (Mapei) ili jednakovrijedno, a reške prethodno obraditi  temeljnim premazom kao PRIMER AS (Mapei) ili jednakovrijedno.</t>
  </si>
  <si>
    <t>Dobava materijala i izvedba spojeva zid-pod (holkera) kao MAPEI ili jednakovrijedan, korištenjem specijalne smjese od epoksi smole PRIMER SN ili jednakovrijedno, sa dodatkom kvarcnog pjeska te uguščivačem ADDITIX PE kompatibilne sa sustavom MAPEFLOOR SUSTAV 32 ili jednakovrijedno. Na tako pripremljenu podlogu izvodi se nanošenje samorazlijevne epoksidne smole bez otapala kao  MAPEFLOOR I300SL (Mapei) ili jednakovrijedno, zamiješene sa kvarcnim pijeskom granulacije 0,25 kao QUARTZO 0,25 (MAPEI) ili jednakovrijedno i  pigmetnom kao MAPECOLOR PASTE ili jednakovrijedno. (RAL i izvedba po odabiru projektanta). Holker se površinski obrađuje sistemskim poliuretanskim premazom u vodenoj disperziji iz MAPEFLOOR FINISH linije proizvoda (Mapei) ili jednakovrijedno.</t>
  </si>
  <si>
    <t>Priprema, dobava i izrada do pune funkcije epoxy glatkog poda u uredima, debljine 2-2,5mm, kao "MAPEFLOOR SISTEM 33" tvrtke Mapei ili jednakovrijedan.Priprema podloge strojno kugličnim sačmarenjem ili brušenjem. Priprema se izvodi u svrhu uklanjanja cementne skramice, ostataka ulja i drugih nečistoća. U cijeni je uklanjanje prašine postupkom usisavanja, a sve zbog potrebne prionjivosti podne obloge za podlogu (vlačna čvrstoća min. 1,5 N/mm) m2. Podni sustav na bazi samorazlijevne epoxydne smole kao MAPEFLOOR I300SL (Mapei) ili jednakovrijedno,  koja je u klasificirana kao SR-B2.0-Bf-s1 i u skladu s normom HRN EN 13813 ili jednakovrijedno te otporan na mehanička oštećenja, otporan na soli i kemikalije. Temeljni sloj sustava se izvodi nanošenjem dvokomponentnog epoksidnog premaza bez otapala kao PRIMER SN (Mapei) ili jednakovrijedno, dok je proizvod još svjež, posipati sa kvarcnim pijeskom granulacije 0,5, kao QUARTZO 0,5 (MAPEI) ili jednakovrijedno do punog zasićenja. Na tako pripremljenu podlogu izvodi se nanošenje samorazlijevne epoksidne smole bez otapala kao  MAPEFLOOR I300SL (Mapei) ili jednakovrijedno, zamiješene sa kvarcnim pijeskom granulacije 0,25 kao QUARTZO 0,25 (MAPEI) ili jednakovrijedno i  pigmetnom kao MAPECOLOR PASTE ili jednakovrijedno. (RAL i izvedba po odabiru projektanta).</t>
  </si>
  <si>
    <t>Podni sustav površinski se obrađuje sistemskim poliuretanskim premazom u vodenoj disperziji iz MAPEFLOOR FINISH linije proizvoda (Mapei) ili jednakovrijedno i voskom MEPELUX OPACA mat (Mapei) ili jednakovrijedno, koji osigurava lakše čišćenje i održavanje te daje željeni efekt prema odabiru projektanta. Boja i način izvedbe prema izboru projektanta. Prije postave obavezno prekontrolirati vlagu u podlozi, kvalitetu podloge i ostale uvjete na gradilištu potrebne za nesmetanu i kvalitetnu postavu. Sve ostalo prema uputama proizvođača i prema pravilima za epoxy podove. Obradu dilatacijskih reški izvesti jednokomponentnom brtvećom poliuretanskom masom kao MAPEFLEX PU45 (Mapei) ili jednakovrijedno, a reške prethodno obraditi  temeljnim premazom kao PRIMER AS (Mapei) ili jednakovrijedno.</t>
  </si>
  <si>
    <t>Dobava materijala i izvedba spojeva zid-pod (holkera), kao MAPEI ili jednakovrijedan ištenjem specijalne smjese od epoksi smole PRIMER SN ili jednakovrijedno, sa dodatkom kvarcnog pjeska te uguščivačem ADDITIX PE ili jednakovrijedno kompatibilne sa sustavom MAPEFLOOR SUSTAV 33 ili jednakovrijedno. Na tako pripremljenu podlogu izvodi se nanošenje samorazlijevne epoksidne smole bez otapala kao  MAPEFLOOR I300SL (Mapei) ili jednakovrijedno, zamiješene sa kvarcnim pijeskom granulacije 0,25 kao QUARTZO 0,25 (MAPEI) ili jednakovrijedno i  pigmetnom kao MAPECOLOR PASTE ili jednakovrijedno. (RAL i izvedba po odabiru projektanta). Holker se površinski obrađuje sistemskim poliuretanskim premazom u vodenoj disperziji iz MAPEFLOOR FINISH linije proizvoda (Mapei) ili jednakovrijedno.</t>
  </si>
  <si>
    <r>
      <t xml:space="preserve">Stupce označene žutom bojom popunjava </t>
    </r>
    <r>
      <rPr>
        <b/>
        <sz val="10"/>
        <color theme="1"/>
        <rFont val="Arial"/>
        <family val="2"/>
        <charset val="238"/>
      </rPr>
      <t xml:space="preserve">Ponuditelj </t>
    </r>
    <r>
      <rPr>
        <sz val="10"/>
        <color theme="1"/>
        <rFont val="Arial"/>
        <family val="2"/>
        <charset val="238"/>
      </rPr>
      <t xml:space="preserve">sa ponuđenim </t>
    </r>
    <r>
      <rPr>
        <b/>
        <sz val="10"/>
        <color theme="1"/>
        <rFont val="Arial"/>
        <family val="2"/>
        <charset val="238"/>
      </rPr>
      <t>tipom opreme i/ili kataloškim brojem i/ili narudžbenom oznakom i proizvođačem</t>
    </r>
  </si>
  <si>
    <t>E120 prema HRN EN 81-58:2006 ili jednakovrijedno</t>
  </si>
  <si>
    <r>
      <t>·</t>
    </r>
    <r>
      <rPr>
        <sz val="10"/>
        <rFont val="Times New Roman"/>
        <family val="1"/>
        <charset val="238"/>
      </rPr>
      <t xml:space="preserve">         </t>
    </r>
    <r>
      <rPr>
        <sz val="10"/>
        <rFont val="Arial Narrow"/>
        <family val="2"/>
        <charset val="238"/>
      </rPr>
      <t>Sigurnosnim pravilima za konstrukciju i ugradnju dizala - dio 1. električna dizala (HRN EN 81-1; 2010 ili jednakovrijedno)</t>
    </r>
  </si>
  <si>
    <t xml:space="preserve">NAPOMENA: Cijena za svaku točku ovog troškovnika mora obuhvatiti dobavu, montažu, spajanje, te dovođenje stavke u stanje potpune funkcionalnosti. U cijenu treba ukalkulirati sav spojni, montažni, pridržni i ostali materijal potreban za potpuno funkcioniranje pojedine stavke.  Prilikom izrada ponude treba imati u vidu najnovije važeće propise za pojedine vrste instalacije. Za sve eventualne primjedbe u pogledu izvođenja i troškovnika, odnosno davanja ponude obratiti se projektantu.  Izvođač je dužan prijenos, ugradnju i montažu opreme, kao  i svu građevinsku pomoć izvesti o svom trošku, te sve radove nuditi u jediničnim cijenama predmetnog troškovnika. Svi razdjelnici trebaju biti sastavljeni, ispitani i isporučeni sa natpisnom pločicom prema HRN EN 61439 ili jednakovrijedno. </t>
  </si>
  <si>
    <t>Dobava i ugradnja čeličnog rasvjetnog stupa tip Auriga P 4M, ɸ60 ili jednakovrijedno, Stožasti rasvjetni stup u boji svjetilje (RAL7035) sa temeljnom pločom, visina 4m, nasadnik FI60, vruče cinčani B54 + sidreni vijci M18x850, 4x matica + 4x kontramatica</t>
  </si>
  <si>
    <r>
      <t>Niskonaponski kompaktni zaštitni prekidač, nazivne struje tijela prekidača 160A, nazivnog napona Ue=690V, tropolni 3P, fiksne izvedbe, nazivne granične prekidne moći Icu=25kA kod 415V AC prema IEC/EN 60947-2, sa elektroničkom zaštitnom jedinicom LS0I selektivnog tipa In=160A tip Micrologic 5.2A ili jednakovrijedno, sa isklopnim naponskim okidačem nazivnog napona 230VAC i sa dva pomoćna kontakta (za isklop i proradu zaštite), zaslon;
kao tip NSX160B</t>
    </r>
    <r>
      <rPr>
        <b/>
        <sz val="9"/>
        <rFont val="Arial"/>
        <family val="2"/>
        <charset val="238"/>
      </rPr>
      <t xml:space="preserve"> ili jednakovrijedan</t>
    </r>
    <r>
      <rPr>
        <sz val="9"/>
        <rFont val="Arial"/>
        <family val="2"/>
        <charset val="238"/>
      </rPr>
      <t>, oznake LV430880 + LV429387 + 29450+LV434201+TRV00121+TRV00128, proizvođača Schneider Electric ili jednakovrijedno</t>
    </r>
  </si>
  <si>
    <t>Odvodnik prenapona 3P+N, Iimp=25/100kA N/PE  za valni oblik 10/350as, nazivna struja odvoda 25kA za valni oblik 8/20as, za nazivni linijski napon 230 VAC i vršni nazivni napon 350VAC, tip 1+2, izvedba s ulošcima i indikacijom dotrajalosti, 
kao tip PRD1, oznake 16332, proizvođača Schneider Electric ili jednakovrijedan</t>
  </si>
  <si>
    <t>SFTP 4x2x0.6mm2 cat. 6 prema normama:ISO/IEC 11801,IEC 61156-5,EN 50173,EN 50288-10 DRAFT,TIA/EIA-568-B.2-10 ili jednakovrijedno</t>
  </si>
  <si>
    <t>Digitalni video rekorder TruVision DVR 40 ili jednakovrijedno</t>
  </si>
  <si>
    <t>Svaka stavka uključuje dobavu, dopremu, ugradnju i spajanje elemenata instalacije. Svi sastavni elementi hvataljki na krovu objekta, sustava odvoda na fasadi i mjernih spojeva trebaju biti izrađeni od nehrđajučeg čelika kvalitete 1.4301 (V2A). Vertikalne hvataljke za zaštitu dograđenih elemenata na krovu (klima komore, ventilacijski otvori, antene itd) izrađene su od aluminija. Postavljaju se na betonska postolja ili na tronošce od nehrđajučeg čelika sa betonskim bazama. Sustav uzemljenja, izvodi prema mjernom spoju i sastavni elementi trebaju biti izrađena od pocinčanog čelika sa nanosom cinka min. 500 g/m2, ca. 70µm (prema normi HRN EN 50164-2 ili jednakovrijedno). Prstenasti uzemljivač postaviti kao zatvoreni prsten u razmaku 1m i u dubinu 0,5m od fasade objekta. Dodatno smanjenje otpora uzemjenja izvesti instaliranjem sondi (na već postavljeni prstenasti uzemljivač) i to vertikalno u zemlji na produžetku svakog odvoda. Odabir materijala i postupak montaže obaviti prema normama HRN EN 50164-2 i  HRN EN 62305 ili jednakovrijedno dio 1-5 (dimenzije presjeka, gradivo materijala, razmak nosača itd):</t>
  </si>
  <si>
    <t xml:space="preserve">Ispitivanje, mjerenje, probni rad, pregledi, izdavanje protokola o mjerenjima  i sl. sukladno programu kakvoće (mjerenje srednje rasvjetljenosti prostora, mjerenje rasvjetljenosti sigurnosne rasvjete, mjerenje otpora izolacije,  ispitivanje impedancije petlje kvara, ispitivanje neprekidnosti zaštitnog vodiča i vodiča za izjednačavanje potencijala, mjerenje galvanske povezanost metalnih masa, ispitivanje funkcionalnosti protupožarnog tipkala, ispitivanje funkcionalnosti protupanične rasvjete, ispitivanje funkcionalnosti zaštitnih uređaja diferencijalne struje,  ispitivanje ispravnosti veza, dovođenje u punu funkcionalnost, puštanje u probni rad, ispitivanje uzemljenja), mjerenja i izdavanje certifikata o izvršenom mjerenju kvalitete instaliranih SFTP veza, sukladnost izmjerenih vrijednosti s vrijednostima prema normi HRN EN 50173-1 ili jednakovrijedno, mjerenja obaviti prema normi EN 50346 ili jednakovrijedno. Mjerenje prohodnosti kabelske kanalizacije s izradom mjernog protokola </t>
  </si>
  <si>
    <r>
      <t>Nabava, dobava i ugradnja travne smjese propisane klijavosti i garantirane čistoće:
- Festuca rubra ssp.fallax (vlasulja nacrvena) ili jednakovrijedno
- Lolium perenne "Barenza" ili jednakovrijedno (ljulj utrinac)
- Poa pratensis "Baron" (vlasnjača livadska) ili jednakovrijedno               2 dkg/m</t>
    </r>
    <r>
      <rPr>
        <vertAlign val="superscript"/>
        <sz val="10"/>
        <color theme="1"/>
        <rFont val="Arial"/>
        <family val="2"/>
        <charset val="238"/>
      </rPr>
      <t>2</t>
    </r>
    <r>
      <rPr>
        <sz val="10"/>
        <color theme="1"/>
        <rFont val="Arial"/>
        <family val="2"/>
        <charset val="238"/>
      </rPr>
      <t xml:space="preserve"> </t>
    </r>
  </si>
  <si>
    <t xml:space="preserve">Nabava, doprema i ugradnja PEHD cijevi PE100 za plinske mreže. Boja crna s koekstrudiranim žutim ili narančastim linijama. Koluti 100 m. Palice 12 m. Prijenos plinovitih goriva na radnim tlakovima do 10 bara.                     Standardi i odobrenja
(odobrenja ovisno o dimenziji)
HRN EN 1555
ISO 4437
DIN 8074
DVGW GW 335-A2
DVGW DG-8106AS2193
DVGW DG-8111AS2194
ili jednakovrijedno
</t>
  </si>
  <si>
    <t xml:space="preserve">Nabava, doprema i ugradnja čeličnih srednje teških cijevi prema HRN EN 10297-1 ili jednakovrijedno za ugradnju unutar objekta, temeljito očišćenih, komplet s lukovima, spojnim i fazonskim komadima, materijalom za spajanje i brtvljenje, cijevnim držačima  i redukcijama. Cijevi se  zaštićuju s dva premaza temeljne boje i dva premaza završnog laka žute boje HRN EN 10297-1 ili jednakovrijedno.
</t>
  </si>
  <si>
    <r>
      <t>Dobava visokotemperaturne dizalice topline proizvod kao</t>
    </r>
    <r>
      <rPr>
        <b/>
        <sz val="9"/>
        <rFont val="Arial Narrow"/>
        <family val="2"/>
        <charset val="238"/>
      </rPr>
      <t xml:space="preserve"> ENERBLUE tip kao ORANGE HT 22 LN 1P ili jednakovrijedan</t>
    </r>
    <r>
      <rPr>
        <sz val="9"/>
        <color theme="1"/>
        <rFont val="Arial Narrow"/>
        <family val="2"/>
        <charset val="238"/>
      </rPr>
      <t xml:space="preserve">. Uređaj je reverzibilna dizalica topline ZRAK-VODA u tihoj izvedbi za vanjsku ugradnju sljedećih karakteristika:                                                                                                                    
                                                                                                                           - tip kompresora                          scroll                                             
- broj stupnjeva regulacije               1                                                                                                                                       
- buka dB(A) tlak                            40                                           
 - buka dB(A) snaga                      68                                           
 - napajanje                               400V/3N                                            
- težina uređaja                            233 kg                                         
 - dužina uređaja                         1105 mm                                        
- širina uređaja                              721 mm                                       
 - visina uređaja                          1385 mm                                         
- ogrijevni kapacitet                </t>
    </r>
    <r>
      <rPr>
        <b/>
        <sz val="9"/>
        <rFont val="Arial Narrow"/>
        <family val="2"/>
        <charset val="238"/>
      </rPr>
      <t xml:space="preserve">      20,3 kW                                       
</t>
    </r>
    <r>
      <rPr>
        <sz val="9"/>
        <color theme="1"/>
        <rFont val="Arial Narrow"/>
        <family val="2"/>
        <charset val="238"/>
      </rPr>
      <t xml:space="preserve"> - apsorbirana snaga                    4,89 kW                                     
 - max izlazna temp. vode              65°C                                                                                
 - raspoloživi tlak (grij)                 136 kPa                                       
 - rashladni kapacitet                    25,5 kW                                       
- apsorbirana snaga                     6,28 kW                                                                                                                     
- raspoloživi tlak (hlađ)                 136 kPa                                                                   COP                                               4,16                                                                        ESEER                                           3,8                                                                       Energetski razred                           A
- Rashladni medij:(R410a)                                        
- Rad uređaja od tv -20/+40 - Hidromodul sa cirkul. pumpom - Protusmrzavajući grijač - Antivibracijski podmetači iz gume                                 
- Daljinska komanda - RS485 serijsko sučelje 
Stavka uključuje sav spojni,brtveni i pričvrsni materijal te dovođenje opreme do stanja potpune funkcionalne spremnosti za puštanje u pogon,rad i korištenje od strane korisnika.</t>
    </r>
  </si>
  <si>
    <t xml:space="preserve">Linija kompaktnih ekspanzijskih posuda za sanitarnu toplu vode uz fiksnu butilnu membranu s unutarnjim epoxy premazom. Ove ekspanzijske posude su izrađene od ugljikovog čelika i MIG zavarivane što eliminira sve oštre rubove unutar spremnika. Oblik membrane je izveden tako da se izbjegne bilo stagnacija vode i time rast bakterija. Ovi spremnici se upotrijebljavaju uz kotlove, bojleri, pumpne sustave te protiv hidrauličkog udara. Veličine se kreću od 5 do 600 litara. Certificirano prema PED 97/23 CE, WRAS, ACS, IAPMO i NSF ili jednakovrijedno.
</t>
  </si>
  <si>
    <t xml:space="preserve">Nabava, doprema i ugradnja razdjelnika i sakupljača medija za grijanje/hlađenje izrađenih iz čelične bešavne cijevi prema HR EN10297-1 ili jednakovrijedno. Razdjelnik se kompletira s prirubničkim priključcima, priključcima za manometar i termometar te priključkom DN15 za ispust vode iz razdjelnika /sakupljača.
</t>
  </si>
  <si>
    <r>
      <t xml:space="preserve">Nabava, doprema i ugradnja Hidrauličke skretnice, HWK 60-1 1/4" </t>
    </r>
    <r>
      <rPr>
        <b/>
        <sz val="10"/>
        <rFont val="Arial Narrow"/>
        <family val="2"/>
        <charset val="238"/>
      </rPr>
      <t>ili jednakovrijedan</t>
    </r>
    <r>
      <rPr>
        <sz val="10"/>
        <rFont val="Arial Narrow"/>
        <family val="2"/>
        <charset val="238"/>
      </rPr>
      <t xml:space="preserve">. Komora za izmjenjivanje iz kvadratne cijevi 60×60. Svi priključci s unutarnjim cijevnim navojem. Priključci kotlovskog i potrošačkog kruga R 1¼" smješteni nasuprotno s bočnih strana. Priključci za odzračivanje (gornji) te ispiranje/punjenje/pražnjenje (donji) R¾". Antikorozivno zaštićen temeljnom bojom. Skretnica ispitana tlačnom probom na 12 bara, radni tlak max. 6 bara, temperatura polaznog voda max. 90°C.  Izolacija od EPS 25 mm (prema DIN 4102-B2) sa oplatom od pocinčanog lima 0.8 mm.
</t>
    </r>
  </si>
  <si>
    <t xml:space="preserve">Nabava, doprema i ugradnja čeličnih bešavnih cijevi prema HRN EN 10297-1 ili jednakovrijedno, komplet s potrebnim spojnim i fazonskim komadima, prirubnicama, protuprirubnicama odgovarajućih dimenzija i kvalitete. Cijevi je potrebno očistiti od grubih i finih nečistoća, zaštititi premazima temeljne boje otporne na povišenu temperaturu te toplinski izolirati.
</t>
  </si>
  <si>
    <r>
      <t>Projektom predviđeni čelični pločasti radijatori te kupaonički radijatori VOGEL &amp; NOOT VONOVA</t>
    </r>
    <r>
      <rPr>
        <b/>
        <sz val="10"/>
        <color indexed="8"/>
        <rFont val="Arial Narrow"/>
        <family val="2"/>
        <charset val="238"/>
      </rPr>
      <t xml:space="preserve"> ili jednakovrijedan</t>
    </r>
    <r>
      <rPr>
        <sz val="10"/>
        <color indexed="8"/>
        <rFont val="Arial Narrow"/>
        <family val="2"/>
        <charset val="238"/>
      </rPr>
      <t xml:space="preserve">. Prilikom nabave radijatora, obvezatno konzultirati investitora, vezano uz proizvođača i tip radijatora
</t>
    </r>
  </si>
  <si>
    <t xml:space="preserve">Materijal: hladno valjani čelični lim po EN 442-1 ili jednakovrijedno, stabiliziran, profiliran, s korakom 40 mm, priključci: 4 x G 1/2'', probni tlak: 13 bar, Max. radni tlak: 10 bar. Toplinski učin: po EN 442 ili jednakovrijedno ispitano i registrirano. Navedeni toplinski učinci odnose se na temperaturu vode 75/60 i sobnu temperaturu 20 stupnjeva. Komplet sa: spojnica, brtva, ključ.
Standardna boja je bijela, RAL 9016.
Radijatori se mogu izravno uključiti u toplovodne sustave centralnog grijanja do 7 bar. 
Ogrijevni je medij u radijatorima umekšana ili demineralizirana voda. S obzirom na korozijsku stabilnost,  primjena medija ovisi samo o vrelovodnim tokovima i izmjenjivačima topline.
Primjena za indirektni sustav distribucije topline, kvaliteta vrele vode u mreži treba odgovarati kvaliteti vode propisanoj važećim normama. pH vrijednost demineralizirane ili umekšane vode treba održavati u granicama 7-9,5, a dopušten je normalan sadržaj hidrazina i sredstava za alkaliziranje prema zahtjevima za kvalitetom napojne vode vrelovodnih kotlova ili recirkulacijske tople vode.
</t>
  </si>
  <si>
    <r>
      <t xml:space="preserve">HERZ-TS-90-termostatski ventil ravne izvedbe - 3/8 (standardni model) </t>
    </r>
    <r>
      <rPr>
        <b/>
        <sz val="10"/>
        <rFont val="Arial Narrow"/>
        <family val="2"/>
        <charset val="238"/>
      </rPr>
      <t xml:space="preserve"> ili jednakovrijedan.</t>
    </r>
    <r>
      <rPr>
        <sz val="10"/>
        <rFont val="Arial Narrow"/>
        <family val="2"/>
        <charset val="238"/>
      </rPr>
      <t xml:space="preserve">
 Priključak grijaćeg tijela konično brtvljen.
Univerzalni model sa specijalnim kolčakom za navojnu cijev i priključak steznim setom.
</t>
    </r>
  </si>
  <si>
    <r>
      <t xml:space="preserve">Tip: GF12.UWC1.A00A1 </t>
    </r>
    <r>
      <rPr>
        <b/>
        <sz val="10"/>
        <rFont val="Arial Narrow"/>
        <family val="2"/>
        <charset val="238"/>
      </rPr>
      <t>ili jednakovrijedan</t>
    </r>
    <r>
      <rPr>
        <sz val="10"/>
        <rFont val="Arial Narrow"/>
        <family val="2"/>
        <charset val="238"/>
      </rPr>
      <t xml:space="preserve">, E0. Ulazni prostor                                                     Tehničke karakterisitike:                                                     Qhl=0,4/0,6/0,7 kW   (Tw=12/17 °C, Tzr=24°C, 50% rel. vl.)
Qgr=1,3/1,8/2,2 kW   (Tw=45/40 °C, Tzr=20°C)
Razina zvučnog tlaka = 30/36/42 dB
DxŠxV=761x225x470 mm
G=13,1 kg
Pad tlaka na izmj. na strani vode (hl)=0,5/0,8/1,1 kPa
Pad tlaka na ventilu na strani vode (hl)=0,2/0,4/0,5 kPa
Pad tlaka na izmj. na strani vode (gr)=3,8/7,0/9,6 kPa
Pad tlaka na ventilu na strani vode (gr)=1,3/1,8/5,4 kPa
</t>
    </r>
  </si>
  <si>
    <r>
      <t>Tip: GF32.UWC1.A00A1</t>
    </r>
    <r>
      <rPr>
        <b/>
        <sz val="10"/>
        <rFont val="Arial Narrow"/>
        <family val="2"/>
        <charset val="238"/>
      </rPr>
      <t xml:space="preserve"> ili jednakovrijedan</t>
    </r>
    <r>
      <rPr>
        <sz val="10"/>
        <rFont val="Arial Narrow"/>
        <family val="2"/>
        <charset val="238"/>
      </rPr>
      <t xml:space="preserve">, E0. Komunikacije
Teh. karakteristike:
Qhl=0,8/0,9/1,1 kW   (Tw=12/17 °C, Tzr=24°C, 50% rel. vl.)
Qgr=1,9/2,4/3,0 kW   (Tw=45/40 °C, Tzr=20°C)
Razina zvučnog tlaka = 30/35/43 dB
DxŠxV=1061x225x470 mm
G=19,9 kg
Pad tlaka na izmj. na strani vode (hl)=0,8/1,0/1,6 kPa
Pad tlaka na ventilu na strani vode (hl)=0,7/0,9/1,5 kPa
Pad tlaka na izmj. na strani vode (gr)=3,9/5,8/8,9 kPa
Pad tlaka na ventilu na strani vode (gr)=4,3/6,6/10,5 kPa
</t>
    </r>
  </si>
  <si>
    <r>
      <t>Tip: GF32.UWC1.A00A1</t>
    </r>
    <r>
      <rPr>
        <b/>
        <sz val="10"/>
        <rFont val="Arial Narrow"/>
        <family val="2"/>
        <charset val="238"/>
      </rPr>
      <t xml:space="preserve"> ili jednakovrijedan</t>
    </r>
    <r>
      <rPr>
        <sz val="10"/>
        <rFont val="Arial Narrow"/>
        <family val="2"/>
        <charset val="238"/>
      </rPr>
      <t xml:space="preserve">,                                 E0. Sala za sastanke
Teh. karakteristike:
Qhl=0,8/0,9/1,2 kW   (Tw=12/17 °C, Tzr=24°C, 50% rel. vl.)
Qgr=2,0/2,5/3,1 kW  (Tw=45/40 °C, Tzr=20°C)
Razina zvučnog tlaka = 30/35/43 dB
DxŠxV=1061x225x470 mm
G=19,9 kg
Pad tlaka na izmj. na strani vode (hl)=0,8/1,0/1,6 kPa
Pad tlaka na ventilu na strani vode (hl)=0,7/0,9/1,5 kPa
Pad tlaka na izmj. na strani vode (gr)=3,9/5,8/8,9 kPa
Pad tlaka na ventilu na strani vode (gr)=4,3/6,6/10,5 kPa
</t>
    </r>
  </si>
  <si>
    <r>
      <t>Tip: GF52.UWC1.A00A1</t>
    </r>
    <r>
      <rPr>
        <b/>
        <sz val="10"/>
        <rFont val="Arial Narrow"/>
        <family val="2"/>
        <charset val="238"/>
      </rPr>
      <t xml:space="preserve"> ili jednakovrijedan</t>
    </r>
    <r>
      <rPr>
        <sz val="10"/>
        <rFont val="Arial Narrow"/>
        <family val="2"/>
        <charset val="238"/>
      </rPr>
      <t xml:space="preserve">, E0. PP pogon
Teh. karakteristike:
Qhl=0,9/1,1/1,5 kW   (Tw=12/17 °C, Tzr=24°C, 50% rel. vl.)
Qgr=2,3/2,8/3,7 kW   (Tw=45/40 °C, Tzr=20°C)
Razina zvučnog tlaka = 30/35/43 dB
DxŠxV=1361x225x470 mm
G=25,7 kg
Pad tlaka na izmj. na strani vode (hl)=1,5/2,1/3,5 kPa
Pad tlaka na ventilu na strani vode (hl)=1,0/1,5/2,6 kPa
Pad tlaka na izmj. na strani vode (gr)=6,9/9,7/16,8 kPa
Pad tlaka na ventilu na strani vode (gr)=6,1/8,9/16,1 kPa
</t>
    </r>
  </si>
  <si>
    <r>
      <t>Tip: GF53.UWC1.A00A1</t>
    </r>
    <r>
      <rPr>
        <b/>
        <sz val="10"/>
        <rFont val="Arial Narrow"/>
        <family val="2"/>
        <charset val="238"/>
      </rPr>
      <t xml:space="preserve"> ili jednakovrijedan</t>
    </r>
    <r>
      <rPr>
        <sz val="10"/>
        <rFont val="Arial Narrow"/>
        <family val="2"/>
        <charset val="238"/>
      </rPr>
      <t xml:space="preserve">, E0. Uprava
Teh. karakteristike:
Qhl=1,0/1,1/1,6 kW   (Tw=12/17 °C, Tzr=24°C, 50% rel. vl.)
Qgr=2,3/2,8/3,8 kW   (Tw=45/40 °C, Tzr=20°C)
Razina zvučnog tlaka = 28/34/42 dB
DxŠxV=1361x225x470 mm
G=26,0 kg
Pad tlaka na izmj. na strani vode (hl)=0,8/1,1/1,8 kPa
Pad tlaka na ventilu na strani vode (hl)=1,1/1,5/2,8 kPa
Pad tlaka na izmj. na strani vode (gr)=3,3/4,9/8,6 kPa
Pad tlaka na ventilu na strani vode (gr)=6,0/9,1/17,0 kPa
</t>
    </r>
  </si>
  <si>
    <r>
      <t>Tip: GF12.UWC1.A00A1</t>
    </r>
    <r>
      <rPr>
        <b/>
        <sz val="10"/>
        <rFont val="Arial Narrow"/>
        <family val="2"/>
        <charset val="238"/>
      </rPr>
      <t xml:space="preserve"> ili jednakovrijedan</t>
    </r>
    <r>
      <rPr>
        <sz val="10"/>
        <rFont val="Arial Narrow"/>
        <family val="2"/>
        <charset val="238"/>
      </rPr>
      <t xml:space="preserve">, E1. Čajna kuhinja                                                    Tehničke karakterisitike:                                                     Qhl=0,4/0,6/0,7 kW   (Tw=12/17 °C, Tzr=24°C, 50% rel. vl.)
Qgr=1,3/1,8/2,2 kW   (Tw=45/40 °C, Tzr=20°C)
Razina zvučnog tlaka = 30/36/42 dB
DxŠxV=761x225x470 mm
G=13,1 kg
Pad tlaka na izmj. na strani vode (hl)=0,5/0,8/1,1 kPa
Pad tlaka na ventilu na strani vode (hl)=0,2/0,4/0,5 kPa
Pad tlaka na izmj. na strani vode (gr)=3,8/7,0/9,6 kPa
Pad tlaka na ventilu na strani vode (gr)=1,3/1,8/5,4 kPa
</t>
    </r>
  </si>
  <si>
    <r>
      <t>Tip: GF11.UWC1.A00A1</t>
    </r>
    <r>
      <rPr>
        <b/>
        <sz val="10"/>
        <rFont val="Arial Narrow"/>
        <family val="2"/>
        <charset val="238"/>
      </rPr>
      <t xml:space="preserve"> ili jednakovrijedan</t>
    </r>
    <r>
      <rPr>
        <sz val="10"/>
        <rFont val="Arial Narrow"/>
        <family val="2"/>
        <charset val="238"/>
      </rPr>
      <t xml:space="preserve">, E1. Otvoreni ured                                                    Tehničke karakterisitike: Qhl=0,4/0,5/0,6 kW   (Tw=12/17 °C, Tzr=24°C, 50% rel. vl.)
Qgr=1,2/1,6/1,8 kW   (Tw=45/40 °C, Tzr=20°C)
Razina zvučnog tlaka = 30/36/42 dB
DxŠxV=761x225x470 mm
G=12,1 kg
Pad tlaka na izmj. na strani vode (hl)=1,4/2,3/3,0 kPa
Pad tlaka na ventilu na strani vode (hl)=0,2/0,3/0,4 kPa
Pad tlaka na izmj. na strani vode (gr)=10,5/17,7/22,8 kPa
Pad tlaka na ventilu na strani vode (gr)=1,6/2,9/3,8 kPa
</t>
    </r>
  </si>
  <si>
    <r>
      <t xml:space="preserve">Tip: GF73.UWC1.A00A1 </t>
    </r>
    <r>
      <rPr>
        <b/>
        <sz val="10"/>
        <rFont val="Arial Narrow"/>
        <family val="2"/>
        <charset val="238"/>
      </rPr>
      <t>ili jednakovrijedan</t>
    </r>
    <r>
      <rPr>
        <sz val="10"/>
        <rFont val="Arial Narrow"/>
        <family val="2"/>
        <charset val="238"/>
      </rPr>
      <t xml:space="preserve">, E1. Otvoreni ured                                                    Tehničke karakterisitike:                                                         Qhl=1,4/1,6/2,0 kW   (Tw=12/17 °C, Tzr=24°C, 50% rel. vl.)
Qgr=3,4/4,2/5,5 kW   (Tw=45/40 °C, Tzr=20°C)
Razina zvučnog tlaka = 33/38/46 dB
DxŠxV=1661x225x470 mm
G=34,1 kg
Pad tlaka na izmj. na strani vode (hl)=0,3/0,4/0,6 kPa
Pad tlaka na ventilu na strani vode (hl)=0,9/1,3/1,9 kPa
Pad tlaka na izmj. na strani vode (gr)=1,4/2,1/3,4kPa
Pad tlaka na ventilu na strani vode (gr)=5,4/8,3/14,2 kPa
</t>
    </r>
  </si>
  <si>
    <r>
      <t>Tip: GF11.UWC1.A00A1</t>
    </r>
    <r>
      <rPr>
        <b/>
        <sz val="10"/>
        <rFont val="Arial Narrow"/>
        <family val="2"/>
        <charset val="238"/>
      </rPr>
      <t xml:space="preserve"> ili jednakovrijedan</t>
    </r>
    <r>
      <rPr>
        <sz val="10"/>
        <rFont val="Arial Narrow"/>
        <family val="2"/>
        <charset val="238"/>
      </rPr>
      <t xml:space="preserve">, E1. Stubište                                                     Tehničke karakterisitike:                                               Qhl=0,4/0,5/0,6 kW   (Tw=12/17 °C, Tzr=24°C, 50% rel. vl.)
Qgr=1,2/1,6/1,8 kW   (Tw=45/40 °C, Tzr=20°C)
Razina zvučnog tlaka = 30/36/42 dB
DxŠxV=761x225x470 mm
G=12,1 kg
Pad tlaka na izmj. na strani vode (hl)=1,4/2,3/3,0 kPa
Pad tlaka na ventilu na strani vode (hl)=0,2/0,3/0,4 kPa
Pad tlaka na izmj. na strani vode (gr)=10,5/17,7/22,8 kPa
Pad tlaka na ventilu na strani vode (gr)=1,6/2,9/3,8 kPa
</t>
    </r>
  </si>
  <si>
    <r>
      <t>Tip: GF32.UWC1.A00A1</t>
    </r>
    <r>
      <rPr>
        <b/>
        <sz val="10"/>
        <rFont val="Arial Narrow"/>
        <family val="2"/>
        <charset val="238"/>
      </rPr>
      <t xml:space="preserve"> ili jednakovrijedan</t>
    </r>
    <r>
      <rPr>
        <sz val="10"/>
        <rFont val="Arial Narrow"/>
        <family val="2"/>
        <charset val="238"/>
      </rPr>
      <t xml:space="preserve">, E1. Ured
Teh. karakteristike:
Qhl=0,8/0,9/1,2 kW   (Tw=12/17 °C, Tzr=24°C, 50% rel. vl.)
Qgr=2,0/2,5/3,1 kW  (Tw=45/40 °C, Tzr=20°C)
Razina zvučnog tlaka = 30/35/43 dB
DxŠxV=1061x225x470 mm
G=19,9 kg
Pad tlaka na izmj. na strani vode (hl)=0,8/1,0/1,6 kPa
Pad tlaka na ventilu na strani vode (hl)=0,7/0,9/1,5 kPa
Pad tlaka na izmj. na strani vode (gr)=3,9/5,8/8,9 kPa
Pad tlaka na ventilu na strani vode (gr)=4,3/6,6/10,5 kPa
</t>
    </r>
  </si>
  <si>
    <r>
      <t>Tip: GF73.UWC1.A00A1</t>
    </r>
    <r>
      <rPr>
        <b/>
        <sz val="10"/>
        <rFont val="Arial Narrow"/>
        <family val="2"/>
        <charset val="238"/>
      </rPr>
      <t xml:space="preserve"> ili jednakovrijedan</t>
    </r>
    <r>
      <rPr>
        <sz val="10"/>
        <rFont val="Arial Narrow"/>
        <family val="2"/>
        <charset val="238"/>
      </rPr>
      <t xml:space="preserve">, E1. Uredski prostor                                                  Tehničke karakterisitike:                                              Qhl=1,4/1,7/2,1 kW   (Tw=12/17 °C, Tzr=24°C, 50% rel. vl.)
Qgr=3,5/4,3/5,5 kW   (Tw=45/40 °C, Tzr=20°C)
Razina zvučnog tlaka = 33/38/46 dB
DxŠxV=1661x225x470 mm
G=34,1 kg
Pad tlaka na izmj. na strani vode (hl)=0,3/0,4/0,6 kPa
Pad tlaka na ventilu na strani vode (hl)=0,9/1,3/1,9 kPa
Pad tlaka na izmj. na strani vode (gr)=1,4/2,1/3,4kPa
Pad tlaka na ventilu na strani vode (gr)=5,4/8,3/14,2 kPa
</t>
    </r>
  </si>
  <si>
    <r>
      <t xml:space="preserve">Ventilokonvektor kao Flex Geko Comfort </t>
    </r>
    <r>
      <rPr>
        <b/>
        <sz val="10"/>
        <rFont val="Arial Narrow"/>
        <family val="2"/>
        <charset val="238"/>
      </rPr>
      <t xml:space="preserve"> ili jednakovrijedan</t>
    </r>
    <r>
      <rPr>
        <sz val="10"/>
        <rFont val="Arial Narrow"/>
        <family val="2"/>
        <charset val="238"/>
      </rPr>
      <t xml:space="preserve">, s maskom s usisnom rešetkom, za grijanje ili hlađenje, za dvocijevni sustav, za rad s optočnim zrakom, za montažu na zid/pod. U sklopu ventilokonvektora nalazi se izmjenjivač topline iz bakrenih cijevi s navučenim aluminijskim lamelama, niskošumni radijalni ventilator, izmjenjiva filterska sekcija, pumpica za odvod kondenzata (ovisno o nacrtima) i troputni on/off regulacijski ventil.
</t>
    </r>
  </si>
  <si>
    <t xml:space="preserve">Tip kao: SIC CFR+ 200E  ili jednakovrijedan
</t>
  </si>
  <si>
    <r>
      <t xml:space="preserve">Dimenzije dodatnog modula RMS </t>
    </r>
    <r>
      <rPr>
        <b/>
        <sz val="10"/>
        <rFont val="Arial Narrow"/>
        <family val="2"/>
        <charset val="238"/>
      </rPr>
      <t>ili jednakovrijedan</t>
    </r>
    <r>
      <rPr>
        <sz val="10"/>
        <rFont val="Arial Narrow"/>
        <family val="2"/>
        <charset val="238"/>
      </rPr>
      <t xml:space="preserve">, AxBxC: 550x550x1400 mm
</t>
    </r>
  </si>
  <si>
    <t xml:space="preserve">SBFR modul  ili jednakovrijedan, sadrži cijevni izmjenjivač kroz kojeg prolazi topla / hladna voda (za naknadno dogrijavanje ili ohlađivanje svježeg ulaznog zraka rekuperatora) te mora biti smješten iza rekuperatora na sekundarnoj grani svježeg zraka. Kolektor kondenzata je izrađen od nehrđajućeg čelika čiji se priključak za kondenziranu vodu nalazi na donjoj strani uređaja. 
</t>
  </si>
  <si>
    <r>
      <t xml:space="preserve">Uređaji DX </t>
    </r>
    <r>
      <rPr>
        <b/>
        <sz val="10"/>
        <color theme="1"/>
        <rFont val="Arial Narrow"/>
        <family val="2"/>
        <charset val="238"/>
      </rPr>
      <t xml:space="preserve"> ili jednakovrijedan</t>
    </r>
    <r>
      <rPr>
        <sz val="10"/>
        <color theme="1"/>
        <rFont val="Arial Narrow"/>
        <family val="2"/>
        <charset val="238"/>
      </rPr>
      <t xml:space="preserve">, hlađeni zrakom s izravnim isparavanjem preko kondenzatora izvan zgrade. Ovisno o veličini s jednim, dvama ili trima kompresorima u jednom rashladnom krugu. Strujanje zraka kroz LCP Rack jedinice podržava „front to back“ princip hlađenja komponenti unutar serverskih ormara. Apsorbirana toplinska energija emitira se direktno u zračni prostor na lokaciji vanjske jedinice, bez zagrijavanja prostorije serverskog ormara. Uređaj regulira snagu hlađenja između 1 – 3 k
</t>
    </r>
  </si>
  <si>
    <r>
      <t>Nabava, doprema i ugradnja vanjske jedinica sustava hlađenja server ormara. Kao proizvod Rittal: LCU DX, single SK 3311.490</t>
    </r>
    <r>
      <rPr>
        <b/>
        <sz val="10"/>
        <color theme="1"/>
        <rFont val="Arial Narrow"/>
        <family val="2"/>
        <charset val="238"/>
      </rPr>
      <t xml:space="preserve"> ili jednakovrijedan</t>
    </r>
    <r>
      <rPr>
        <sz val="10"/>
        <color theme="1"/>
        <rFont val="Arial Narrow"/>
        <family val="2"/>
        <charset val="238"/>
      </rPr>
      <t xml:space="preserve">                                                                              - Sljedećih tehničkih karakteristika: Qh = 3 kW, 
   Dimenzije: 810 x 310 mm ; h = 558 mm, Težina: 38 kg
</t>
    </r>
  </si>
  <si>
    <r>
      <t xml:space="preserve">Nabava, doprema i ugradnja unutarnje jedinice sustava hlađenja server ormara. Kao proizvod Rittal: LCU DX, single SK 3311.490 </t>
    </r>
    <r>
      <rPr>
        <b/>
        <sz val="10"/>
        <color theme="1"/>
        <rFont val="Arial Narrow"/>
        <family val="2"/>
        <charset val="238"/>
      </rPr>
      <t xml:space="preserve"> ili jednakovrijedan</t>
    </r>
    <r>
      <rPr>
        <sz val="10"/>
        <color theme="1"/>
        <rFont val="Arial Narrow"/>
        <family val="2"/>
        <charset val="238"/>
      </rPr>
      <t xml:space="preserve">
- Sljedećih tehničkih karakteristika: Qh = 3 kW, 
  Dimenzije: 105 x 820 mm ; h = 820 mm, Težina: 48 kg
</t>
    </r>
  </si>
  <si>
    <t xml:space="preserve">Dobava i montaža bakrenih cijevi prem HRN EN 1756 ili jednakovrijedno za spoj LCU jedinice na odvod kondenzata. Cu cijevi za odvod kondenzata od LCU jedinice prema najbližem mjestu sanitarno - fekalne odvodnje. Tlačni odvod u najbliže mjesto priključenja. 
</t>
  </si>
  <si>
    <t>Dobava sustava za nadzor potrošnje kao rješnje EcoStruxure™ Power Monitoring Expert 8.2 ili jednakovrijedno koji sadrži: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</si>
</sst>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7" formatCode="#,##0.00\ &quot;kn&quot;;\-#,##0.00\ &quot;kn&quot;"/>
    <numFmt numFmtId="44" formatCode="_-* #,##0.00\ &quot;kn&quot;_-;\-* #,##0.00\ &quot;kn&quot;_-;_-* &quot;-&quot;??\ &quot;kn&quot;_-;_-@_-"/>
    <numFmt numFmtId="43" formatCode="_-* #,##0.00\ _k_n_-;\-* #,##0.00\ _k_n_-;_-* &quot;-&quot;??\ _k_n_-;_-@_-"/>
    <numFmt numFmtId="164" formatCode="#,##0.00\ &quot;kn&quot;"/>
    <numFmt numFmtId="165" formatCode="#,##0.00&quot; kn&quot;"/>
    <numFmt numFmtId="166" formatCode="#"/>
    <numFmt numFmtId="167" formatCode="#,##0.00\ _k_n"/>
    <numFmt numFmtId="168" formatCode="_-* #,##0.00\ [$kn-41A]_-;\-* #,##0.00\ [$kn-41A]_-;_-* &quot;-&quot;??\ [$kn-41A]_-;_-@_-"/>
    <numFmt numFmtId="169" formatCode="0&quot;.&quot;"/>
    <numFmt numFmtId="170" formatCode="###0;\-_*###0"/>
    <numFmt numFmtId="171" formatCode="###0.00;\-_*###0.00"/>
    <numFmt numFmtId="172" formatCode="###0.0;\-_*###0.0"/>
  </numFmts>
  <fonts count="76" x14ac:knownFonts="1">
    <font>
      <sz val="10"/>
      <color theme="1"/>
      <name val="Arial"/>
      <family val="2"/>
      <charset val="238"/>
    </font>
    <font>
      <b/>
      <sz val="10"/>
      <color theme="1"/>
      <name val="Arial"/>
      <family val="2"/>
      <charset val="238"/>
    </font>
    <font>
      <b/>
      <sz val="16"/>
      <color theme="1"/>
      <name val="Arial"/>
      <family val="2"/>
      <charset val="238"/>
    </font>
    <font>
      <sz val="10"/>
      <name val="Arial"/>
      <family val="2"/>
      <charset val="238"/>
    </font>
    <font>
      <b/>
      <sz val="10"/>
      <name val="Arial"/>
      <family val="2"/>
      <charset val="238"/>
    </font>
    <font>
      <vertAlign val="superscript"/>
      <sz val="10"/>
      <name val="Arial"/>
      <family val="2"/>
      <charset val="238"/>
    </font>
    <font>
      <sz val="10"/>
      <name val="Arial"/>
      <family val="2"/>
      <charset val="238"/>
    </font>
    <font>
      <sz val="11"/>
      <color theme="1"/>
      <name val="Calibri"/>
      <family val="2"/>
      <charset val="238"/>
      <scheme val="minor"/>
    </font>
    <font>
      <sz val="10"/>
      <color indexed="8"/>
      <name val="Arial"/>
      <family val="2"/>
      <charset val="238"/>
    </font>
    <font>
      <vertAlign val="superscript"/>
      <sz val="10"/>
      <color indexed="8"/>
      <name val="Arial"/>
      <family val="2"/>
      <charset val="238"/>
    </font>
    <font>
      <vertAlign val="superscript"/>
      <sz val="10"/>
      <color theme="1"/>
      <name val="Arial"/>
      <family val="2"/>
      <charset val="238"/>
    </font>
    <font>
      <sz val="10"/>
      <color rgb="FFFF0000"/>
      <name val="Arial"/>
      <family val="2"/>
      <charset val="238"/>
    </font>
    <font>
      <b/>
      <sz val="10"/>
      <name val="Arial Narrow"/>
      <family val="2"/>
      <charset val="238"/>
    </font>
    <font>
      <b/>
      <u/>
      <sz val="10"/>
      <name val="Arial"/>
      <family val="2"/>
      <charset val="238"/>
    </font>
    <font>
      <sz val="10"/>
      <name val="Arial Narrow"/>
      <family val="2"/>
      <charset val="238"/>
    </font>
    <font>
      <vertAlign val="superscript"/>
      <sz val="10"/>
      <name val="Arial Narrow"/>
      <family val="2"/>
      <charset val="238"/>
    </font>
    <font>
      <sz val="10"/>
      <name val="Symbol"/>
      <family val="1"/>
      <charset val="2"/>
    </font>
    <font>
      <sz val="10"/>
      <name val="Times New Roman"/>
      <family val="1"/>
      <charset val="238"/>
    </font>
    <font>
      <b/>
      <u/>
      <sz val="10"/>
      <name val="Arial Narrow"/>
      <family val="2"/>
      <charset val="238"/>
    </font>
    <font>
      <sz val="10"/>
      <color indexed="10"/>
      <name val="Arial"/>
      <family val="2"/>
      <charset val="238"/>
    </font>
    <font>
      <sz val="12"/>
      <name val="Tms Rmn"/>
    </font>
    <font>
      <sz val="10"/>
      <name val="Helv"/>
    </font>
    <font>
      <b/>
      <sz val="12"/>
      <name val="Arial"/>
      <family val="2"/>
      <charset val="238"/>
    </font>
    <font>
      <b/>
      <sz val="9"/>
      <name val="Arial"/>
      <family val="2"/>
      <charset val="238"/>
    </font>
    <font>
      <b/>
      <sz val="11"/>
      <name val="Arial"/>
      <family val="2"/>
      <charset val="238"/>
    </font>
    <font>
      <sz val="11"/>
      <name val="Arial"/>
      <family val="2"/>
      <charset val="238"/>
    </font>
    <font>
      <sz val="9"/>
      <name val="Arial"/>
      <family val="2"/>
      <charset val="238"/>
    </font>
    <font>
      <sz val="9"/>
      <color rgb="FFFF0000"/>
      <name val="Arial"/>
      <family val="2"/>
      <charset val="238"/>
    </font>
    <font>
      <sz val="9"/>
      <color indexed="8"/>
      <name val="Arial"/>
      <family val="2"/>
      <charset val="238"/>
    </font>
    <font>
      <b/>
      <i/>
      <sz val="9"/>
      <name val="Arial"/>
      <family val="2"/>
      <charset val="238"/>
    </font>
    <font>
      <i/>
      <sz val="9"/>
      <name val="Arial"/>
      <family val="2"/>
      <charset val="238"/>
    </font>
    <font>
      <sz val="9"/>
      <color theme="1"/>
      <name val="Arial Narrow"/>
      <family val="2"/>
      <charset val="238"/>
    </font>
    <font>
      <sz val="9"/>
      <color indexed="8"/>
      <name val="Arial Narrow"/>
      <family val="2"/>
      <charset val="238"/>
    </font>
    <font>
      <b/>
      <sz val="20"/>
      <color indexed="8"/>
      <name val="Arial Narrow"/>
      <family val="2"/>
      <charset val="238"/>
    </font>
    <font>
      <b/>
      <sz val="12"/>
      <color indexed="8"/>
      <name val="Arial Narrow"/>
      <family val="2"/>
      <charset val="238"/>
    </font>
    <font>
      <sz val="10"/>
      <color indexed="8"/>
      <name val="Arial Narrow"/>
      <family val="2"/>
      <charset val="238"/>
    </font>
    <font>
      <sz val="12"/>
      <color indexed="8"/>
      <name val="Arial Narrow"/>
      <family val="2"/>
      <charset val="238"/>
    </font>
    <font>
      <sz val="10"/>
      <color rgb="FFFF0000"/>
      <name val="Arial Narrow"/>
      <family val="2"/>
      <charset val="238"/>
    </font>
    <font>
      <b/>
      <sz val="16"/>
      <name val="Arial Narrow"/>
      <family val="2"/>
      <charset val="238"/>
    </font>
    <font>
      <b/>
      <sz val="14"/>
      <color indexed="8"/>
      <name val="Arial Narrow"/>
      <family val="2"/>
      <charset val="238"/>
    </font>
    <font>
      <sz val="12"/>
      <color indexed="8"/>
      <name val="Calibri"/>
      <family val="2"/>
      <charset val="238"/>
    </font>
    <font>
      <sz val="11"/>
      <color indexed="8"/>
      <name val="Arial Narrow"/>
      <family val="2"/>
      <charset val="238"/>
    </font>
    <font>
      <sz val="10"/>
      <color indexed="14"/>
      <name val="Arial"/>
      <family val="2"/>
      <charset val="238"/>
    </font>
    <font>
      <sz val="10"/>
      <color theme="1"/>
      <name val="Arial"/>
      <family val="2"/>
      <charset val="238"/>
    </font>
    <font>
      <b/>
      <u/>
      <sz val="12"/>
      <color indexed="8"/>
      <name val="Arial Narrow"/>
      <family val="2"/>
      <charset val="238"/>
    </font>
    <font>
      <b/>
      <sz val="10"/>
      <color indexed="8"/>
      <name val="Arial Narrow"/>
      <family val="2"/>
      <charset val="238"/>
    </font>
    <font>
      <sz val="10"/>
      <color theme="1"/>
      <name val="Arial Narrow"/>
      <family val="2"/>
      <charset val="238"/>
    </font>
    <font>
      <b/>
      <sz val="10"/>
      <color theme="1"/>
      <name val="Arial Narrow"/>
      <family val="2"/>
      <charset val="238"/>
    </font>
    <font>
      <sz val="10"/>
      <color theme="1"/>
      <name val="Calibri"/>
      <family val="2"/>
      <charset val="238"/>
      <scheme val="minor"/>
    </font>
    <font>
      <sz val="10"/>
      <color rgb="FF000000"/>
      <name val="Arial Narrow"/>
      <family val="2"/>
      <charset val="238"/>
    </font>
    <font>
      <sz val="10"/>
      <color indexed="10"/>
      <name val="Arial Narrow"/>
      <family val="2"/>
      <charset val="238"/>
    </font>
    <font>
      <sz val="10"/>
      <color rgb="FF222222"/>
      <name val="Arial"/>
      <family val="2"/>
      <charset val="238"/>
    </font>
    <font>
      <vertAlign val="superscript"/>
      <sz val="10"/>
      <color indexed="8"/>
      <name val="Arial Narrow"/>
      <family val="2"/>
      <charset val="238"/>
    </font>
    <font>
      <b/>
      <i/>
      <sz val="14"/>
      <color indexed="8"/>
      <name val="Arial Narrow"/>
      <family val="2"/>
      <charset val="238"/>
    </font>
    <font>
      <sz val="11"/>
      <color theme="1"/>
      <name val="Arial Narrow"/>
      <family val="2"/>
      <charset val="238"/>
    </font>
    <font>
      <sz val="10"/>
      <color indexed="8"/>
      <name val="Calibri"/>
      <family val="2"/>
      <charset val="238"/>
    </font>
    <font>
      <b/>
      <sz val="10"/>
      <color rgb="FF000000"/>
      <name val="Arial Narrow"/>
      <family val="2"/>
      <charset val="238"/>
    </font>
    <font>
      <sz val="10"/>
      <color indexed="60"/>
      <name val="Arial Narrow"/>
      <family val="2"/>
      <charset val="238"/>
    </font>
    <font>
      <b/>
      <sz val="12"/>
      <color rgb="FF000000"/>
      <name val="Arial Narrow"/>
      <family val="2"/>
      <charset val="238"/>
    </font>
    <font>
      <b/>
      <sz val="14"/>
      <color rgb="FF000000"/>
      <name val="Arial Narrow"/>
      <family val="2"/>
      <charset val="238"/>
    </font>
    <font>
      <i/>
      <sz val="10"/>
      <name val="Arial Narrow"/>
      <family val="2"/>
      <charset val="238"/>
    </font>
    <font>
      <sz val="10"/>
      <color rgb="FF000000"/>
      <name val="Calibri"/>
      <family val="2"/>
      <charset val="238"/>
    </font>
    <font>
      <vertAlign val="subscript"/>
      <sz val="10"/>
      <color indexed="8"/>
      <name val="Arial Narrow"/>
      <family val="2"/>
      <charset val="238"/>
    </font>
    <font>
      <sz val="10"/>
      <color theme="1"/>
      <name val="Calibri"/>
      <family val="2"/>
      <charset val="238"/>
    </font>
    <font>
      <sz val="10"/>
      <name val="Arial CE"/>
    </font>
    <font>
      <b/>
      <i/>
      <sz val="14"/>
      <color rgb="FF000000"/>
      <name val="Arial Narrow"/>
      <family val="2"/>
      <charset val="238"/>
    </font>
    <font>
      <sz val="10"/>
      <color rgb="FF222222"/>
      <name val="Arial Narrow"/>
      <family val="2"/>
      <charset val="238"/>
    </font>
    <font>
      <sz val="12"/>
      <color theme="1"/>
      <name val="Arial Narrow"/>
      <family val="2"/>
      <charset val="238"/>
    </font>
    <font>
      <b/>
      <sz val="12"/>
      <color theme="1"/>
      <name val="Arial Narrow"/>
      <family val="2"/>
      <charset val="238"/>
    </font>
    <font>
      <sz val="10"/>
      <name val="Calibri"/>
      <family val="2"/>
      <charset val="238"/>
    </font>
    <font>
      <sz val="12"/>
      <color rgb="FF000000"/>
      <name val="Arial Narrow"/>
      <family val="2"/>
      <charset val="238"/>
    </font>
    <font>
      <b/>
      <sz val="16"/>
      <color indexed="8"/>
      <name val="Arial Narrow"/>
      <family val="2"/>
      <charset val="238"/>
    </font>
    <font>
      <sz val="8"/>
      <color theme="1"/>
      <name val="Arial"/>
      <family val="2"/>
      <charset val="238"/>
    </font>
    <font>
      <b/>
      <sz val="14"/>
      <color theme="1"/>
      <name val="Arial"/>
      <family val="2"/>
      <charset val="238"/>
    </font>
    <font>
      <b/>
      <sz val="9"/>
      <color indexed="8"/>
      <name val="Arial"/>
      <family val="2"/>
      <charset val="238"/>
    </font>
    <font>
      <b/>
      <sz val="9"/>
      <name val="Arial Narrow"/>
      <family val="2"/>
      <charset val="238"/>
    </font>
  </fonts>
  <fills count="7">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tint="-0.24994659260841701"/>
        <bgColor indexed="64"/>
      </patternFill>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ck">
        <color indexed="64"/>
      </left>
      <right style="medium">
        <color indexed="64"/>
      </right>
      <top style="thick">
        <color indexed="64"/>
      </top>
      <bottom style="thick">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style="medium">
        <color indexed="8"/>
      </bottom>
      <diagonal/>
    </border>
    <border>
      <left/>
      <right style="medium">
        <color indexed="64"/>
      </right>
      <top/>
      <bottom style="medium">
        <color indexed="8"/>
      </bottom>
      <diagonal/>
    </border>
    <border>
      <left style="thick">
        <color rgb="FF666666"/>
      </left>
      <right/>
      <top/>
      <bottom/>
      <diagonal/>
    </border>
  </borders>
  <cellStyleXfs count="17">
    <xf numFmtId="0" fontId="0" fillId="0" borderId="0"/>
    <xf numFmtId="0" fontId="3" fillId="0" borderId="0"/>
    <xf numFmtId="0" fontId="6" fillId="0" borderId="0"/>
    <xf numFmtId="0" fontId="7" fillId="0" borderId="0"/>
    <xf numFmtId="0" fontId="6" fillId="0" borderId="0"/>
    <xf numFmtId="0"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0" fontId="8" fillId="0" borderId="0"/>
    <xf numFmtId="0" fontId="20" fillId="0" borderId="0"/>
    <xf numFmtId="0" fontId="21" fillId="0" borderId="0"/>
    <xf numFmtId="43" fontId="43" fillId="0" borderId="0" applyFont="0" applyFill="0" applyBorder="0" applyAlignment="0" applyProtection="0"/>
    <xf numFmtId="0" fontId="3" fillId="0" borderId="0"/>
    <xf numFmtId="0" fontId="64" fillId="0" borderId="0"/>
    <xf numFmtId="0" fontId="3" fillId="0" borderId="0"/>
    <xf numFmtId="0" fontId="3" fillId="0" borderId="0"/>
  </cellStyleXfs>
  <cellXfs count="858">
    <xf numFmtId="0" fontId="0" fillId="0" borderId="0" xfId="0"/>
    <xf numFmtId="0" fontId="1" fillId="0" borderId="0" xfId="0" applyFont="1"/>
    <xf numFmtId="49" fontId="0" fillId="0" borderId="0" xfId="0" applyNumberFormat="1"/>
    <xf numFmtId="0" fontId="0" fillId="0" borderId="1" xfId="0" applyBorder="1"/>
    <xf numFmtId="0" fontId="0" fillId="0" borderId="0" xfId="0" applyBorder="1"/>
    <xf numFmtId="164" fontId="3" fillId="0" borderId="0"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4" fillId="0" borderId="0" xfId="0" applyFont="1" applyAlignment="1">
      <alignment horizontal="left" vertical="center"/>
    </xf>
    <xf numFmtId="0" fontId="3" fillId="0" borderId="0" xfId="0" applyFont="1" applyAlignment="1">
      <alignment horizontal="center" wrapText="1"/>
    </xf>
    <xf numFmtId="0" fontId="1" fillId="0" borderId="0" xfId="0" applyFont="1" applyAlignment="1"/>
    <xf numFmtId="0" fontId="3" fillId="0" borderId="0" xfId="0" applyFont="1" applyBorder="1" applyAlignment="1">
      <alignment horizontal="center" vertical="center"/>
    </xf>
    <xf numFmtId="0" fontId="4" fillId="0" borderId="0" xfId="0" applyFont="1" applyAlignment="1">
      <alignment horizont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16" fontId="3" fillId="0" borderId="0" xfId="0" applyNumberFormat="1" applyFont="1" applyBorder="1" applyAlignment="1">
      <alignment horizontal="center" vertical="center"/>
    </xf>
    <xf numFmtId="16" fontId="3" fillId="0" borderId="1" xfId="0" applyNumberFormat="1" applyFont="1" applyBorder="1" applyAlignment="1">
      <alignment horizontal="center" vertical="center"/>
    </xf>
    <xf numFmtId="0" fontId="3" fillId="0" borderId="0" xfId="0" applyFont="1"/>
    <xf numFmtId="0" fontId="3" fillId="0" borderId="1" xfId="0" applyFont="1" applyBorder="1"/>
    <xf numFmtId="164" fontId="4" fillId="0" borderId="0" xfId="0" applyNumberFormat="1" applyFont="1" applyAlignment="1">
      <alignment horizontal="center"/>
    </xf>
    <xf numFmtId="0" fontId="3" fillId="0" borderId="0" xfId="0" applyFont="1" applyBorder="1"/>
    <xf numFmtId="0" fontId="4" fillId="0" borderId="0" xfId="0" applyFont="1" applyBorder="1" applyAlignment="1">
      <alignment horizontal="center" vertical="center"/>
    </xf>
    <xf numFmtId="164" fontId="4" fillId="0" borderId="0" xfId="0" applyNumberFormat="1" applyFont="1" applyBorder="1" applyAlignment="1">
      <alignment horizontal="center"/>
    </xf>
    <xf numFmtId="0" fontId="3" fillId="0" borderId="0" xfId="0" applyFont="1" applyAlignment="1">
      <alignment horizontal="left" vertical="center"/>
    </xf>
    <xf numFmtId="164" fontId="3" fillId="0" borderId="0" xfId="0" applyNumberFormat="1" applyFont="1" applyAlignment="1">
      <alignment horizontal="right" vertical="center"/>
    </xf>
    <xf numFmtId="0" fontId="3" fillId="0" borderId="0" xfId="0" applyFont="1" applyBorder="1" applyAlignment="1">
      <alignment horizontal="left" vertical="center"/>
    </xf>
    <xf numFmtId="164" fontId="3" fillId="0" borderId="0" xfId="0" applyNumberFormat="1" applyFont="1" applyBorder="1" applyAlignment="1">
      <alignment horizontal="right" vertical="center"/>
    </xf>
    <xf numFmtId="0" fontId="3" fillId="0" borderId="1" xfId="0" applyFont="1" applyBorder="1" applyAlignment="1">
      <alignment horizontal="left" vertical="center"/>
    </xf>
    <xf numFmtId="164" fontId="3" fillId="0" borderId="1" xfId="0" applyNumberFormat="1" applyFont="1" applyBorder="1" applyAlignment="1">
      <alignment horizontal="right" vertical="center"/>
    </xf>
    <xf numFmtId="0" fontId="3" fillId="0" borderId="2" xfId="0" applyFont="1" applyBorder="1" applyAlignment="1">
      <alignment horizontal="center" vertical="center"/>
    </xf>
    <xf numFmtId="0" fontId="4" fillId="0" borderId="0" xfId="0" applyFont="1" applyAlignment="1">
      <alignment horizontal="right" vertical="center"/>
    </xf>
    <xf numFmtId="0" fontId="1" fillId="0" borderId="0" xfId="0" applyFont="1" applyAlignment="1">
      <alignment vertical="top" wrapText="1"/>
    </xf>
    <xf numFmtId="49" fontId="8" fillId="0" borderId="0" xfId="9" applyNumberFormat="1" applyFont="1" applyProtection="1"/>
    <xf numFmtId="0" fontId="8" fillId="0" borderId="0" xfId="9" applyProtection="1"/>
    <xf numFmtId="165" fontId="8" fillId="0" borderId="0" xfId="9" applyNumberFormat="1" applyBorder="1" applyAlignment="1" applyProtection="1">
      <alignment horizontal="center" vertical="center"/>
    </xf>
    <xf numFmtId="0" fontId="0" fillId="0" borderId="0" xfId="0" applyAlignment="1">
      <alignment horizontal="left" vertical="top" wrapText="1"/>
    </xf>
    <xf numFmtId="2" fontId="8" fillId="0" borderId="1" xfId="9" applyNumberFormat="1" applyBorder="1" applyAlignment="1" applyProtection="1">
      <alignment horizontal="center" vertical="center"/>
    </xf>
    <xf numFmtId="0" fontId="1" fillId="0" borderId="0" xfId="0" applyFont="1" applyAlignment="1">
      <alignment horizontal="left" vertical="center"/>
    </xf>
    <xf numFmtId="0" fontId="0" fillId="0" borderId="0" xfId="0" applyAlignment="1">
      <alignment horizontal="center" wrapText="1"/>
    </xf>
    <xf numFmtId="0" fontId="0" fillId="0" borderId="0" xfId="0" applyAlignment="1">
      <alignment horizontal="center" vertical="center"/>
    </xf>
    <xf numFmtId="0" fontId="0" fillId="0" borderId="1" xfId="0" applyBorder="1" applyAlignment="1">
      <alignment horizontal="center" vertical="center"/>
    </xf>
    <xf numFmtId="16" fontId="0" fillId="0" borderId="0" xfId="0" applyNumberFormat="1" applyAlignment="1">
      <alignment horizontal="center" vertical="center"/>
    </xf>
    <xf numFmtId="2" fontId="0" fillId="0" borderId="0" xfId="0" applyNumberFormat="1" applyAlignment="1">
      <alignment horizontal="center" vertical="center"/>
    </xf>
    <xf numFmtId="164" fontId="0" fillId="0" borderId="0" xfId="0" applyNumberFormat="1" applyAlignment="1">
      <alignment horizontal="center" vertical="center"/>
    </xf>
    <xf numFmtId="16" fontId="0" fillId="0" borderId="1" xfId="0" applyNumberFormat="1" applyBorder="1" applyAlignment="1">
      <alignment horizontal="center" vertical="center"/>
    </xf>
    <xf numFmtId="2"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0" fillId="0" borderId="0" xfId="0" applyAlignment="1">
      <alignment horizontal="left"/>
    </xf>
    <xf numFmtId="0" fontId="1" fillId="0" borderId="0" xfId="0" applyFont="1" applyAlignment="1">
      <alignment horizontal="right"/>
    </xf>
    <xf numFmtId="0" fontId="1" fillId="0" borderId="0" xfId="0" applyFont="1" applyAlignment="1">
      <alignment horizontal="center" vertical="center"/>
    </xf>
    <xf numFmtId="164" fontId="1" fillId="0" borderId="0" xfId="0" applyNumberFormat="1" applyFont="1" applyAlignment="1">
      <alignment horizontal="center"/>
    </xf>
    <xf numFmtId="49" fontId="3" fillId="0" borderId="0" xfId="0" applyNumberFormat="1" applyFont="1" applyBorder="1" applyAlignment="1">
      <alignment vertical="center"/>
    </xf>
    <xf numFmtId="1" fontId="3" fillId="0" borderId="0" xfId="0" applyNumberFormat="1" applyFont="1" applyBorder="1" applyAlignment="1">
      <alignment vertical="center"/>
    </xf>
    <xf numFmtId="0" fontId="0" fillId="0" borderId="0" xfId="0" applyFont="1"/>
    <xf numFmtId="16" fontId="0" fillId="0" borderId="0" xfId="0" applyNumberFormat="1" applyBorder="1" applyAlignment="1">
      <alignment horizontal="center" vertical="center"/>
    </xf>
    <xf numFmtId="0" fontId="0" fillId="0" borderId="0" xfId="0" applyBorder="1" applyAlignment="1">
      <alignment horizontal="center" vertical="center"/>
    </xf>
    <xf numFmtId="2" fontId="0" fillId="0" borderId="0" xfId="0" applyNumberFormat="1" applyBorder="1" applyAlignment="1">
      <alignment horizontal="center" vertical="center"/>
    </xf>
    <xf numFmtId="164" fontId="0" fillId="0" borderId="0" xfId="0" applyNumberFormat="1" applyBorder="1" applyAlignment="1">
      <alignment horizontal="center" vertical="center"/>
    </xf>
    <xf numFmtId="49" fontId="0" fillId="0" borderId="0" xfId="0" applyNumberFormat="1" applyBorder="1"/>
    <xf numFmtId="0" fontId="0" fillId="0" borderId="0" xfId="0" applyFont="1" applyAlignment="1">
      <alignment horizontal="left" vertical="center"/>
    </xf>
    <xf numFmtId="164" fontId="0" fillId="0" borderId="0" xfId="0" applyNumberFormat="1"/>
    <xf numFmtId="164" fontId="0" fillId="0" borderId="0" xfId="0" applyNumberFormat="1" applyAlignment="1">
      <alignment horizontal="right" vertical="center"/>
    </xf>
    <xf numFmtId="0" fontId="0" fillId="0" borderId="0" xfId="0" applyAlignment="1">
      <alignment horizontal="left" vertical="center"/>
    </xf>
    <xf numFmtId="0" fontId="0" fillId="0" borderId="1" xfId="0" applyBorder="1" applyAlignment="1">
      <alignment horizontal="left" vertical="center"/>
    </xf>
    <xf numFmtId="164" fontId="0" fillId="0" borderId="1" xfId="0" applyNumberFormat="1" applyBorder="1" applyAlignment="1">
      <alignment horizontal="right" vertical="center"/>
    </xf>
    <xf numFmtId="164" fontId="1" fillId="0" borderId="0" xfId="0" applyNumberFormat="1" applyFont="1" applyAlignment="1">
      <alignment horizontal="right" vertical="center"/>
    </xf>
    <xf numFmtId="49" fontId="3" fillId="0" borderId="1" xfId="0" applyNumberFormat="1" applyFont="1" applyBorder="1" applyAlignment="1">
      <alignment vertical="center"/>
    </xf>
    <xf numFmtId="1" fontId="3" fillId="0" borderId="1" xfId="0" applyNumberFormat="1" applyFont="1" applyBorder="1" applyAlignment="1">
      <alignment vertical="center"/>
    </xf>
    <xf numFmtId="0" fontId="0" fillId="0" borderId="0" xfId="0" applyBorder="1" applyAlignment="1">
      <alignment horizontal="left" vertical="center"/>
    </xf>
    <xf numFmtId="164" fontId="0" fillId="0" borderId="0" xfId="0" applyNumberFormat="1" applyBorder="1" applyAlignment="1">
      <alignment horizontal="right" vertical="center"/>
    </xf>
    <xf numFmtId="16" fontId="11" fillId="0" borderId="0" xfId="0" applyNumberFormat="1" applyFont="1" applyBorder="1" applyAlignment="1">
      <alignment horizontal="center" vertical="center"/>
    </xf>
    <xf numFmtId="0" fontId="11" fillId="0" borderId="0" xfId="9" applyFont="1" applyBorder="1" applyAlignment="1" applyProtection="1">
      <alignment horizontal="center" vertical="center"/>
    </xf>
    <xf numFmtId="2" fontId="11" fillId="0" borderId="0" xfId="9" applyNumberFormat="1" applyFont="1" applyBorder="1" applyAlignment="1" applyProtection="1">
      <alignment horizontal="center" vertical="center"/>
    </xf>
    <xf numFmtId="165" fontId="11" fillId="0" borderId="0" xfId="9" applyNumberFormat="1" applyFont="1" applyBorder="1" applyAlignment="1" applyProtection="1">
      <alignment horizontal="center" vertical="center"/>
      <protection locked="0"/>
    </xf>
    <xf numFmtId="165" fontId="11" fillId="0" borderId="0" xfId="9" applyNumberFormat="1" applyFont="1" applyBorder="1" applyAlignment="1" applyProtection="1">
      <alignment horizontal="center" vertical="center"/>
    </xf>
    <xf numFmtId="0" fontId="11" fillId="0" borderId="0" xfId="0" applyFont="1" applyBorder="1"/>
    <xf numFmtId="16" fontId="11" fillId="0" borderId="1" xfId="0" applyNumberFormat="1" applyFont="1" applyBorder="1" applyAlignment="1">
      <alignment horizontal="center" vertical="center"/>
    </xf>
    <xf numFmtId="0" fontId="11" fillId="0" borderId="1" xfId="9" applyFont="1" applyBorder="1" applyAlignment="1" applyProtection="1">
      <alignment horizontal="center" vertical="center"/>
    </xf>
    <xf numFmtId="2" fontId="11" fillId="0" borderId="1" xfId="9" applyNumberFormat="1" applyFont="1" applyBorder="1" applyAlignment="1" applyProtection="1">
      <alignment horizontal="center" vertical="center"/>
    </xf>
    <xf numFmtId="165" fontId="11" fillId="0" borderId="1" xfId="9" applyNumberFormat="1" applyFont="1" applyBorder="1" applyAlignment="1" applyProtection="1">
      <alignment horizontal="center" vertical="center"/>
      <protection locked="0"/>
    </xf>
    <xf numFmtId="165" fontId="11" fillId="0" borderId="1" xfId="9" applyNumberFormat="1" applyFont="1" applyBorder="1" applyAlignment="1" applyProtection="1">
      <alignment horizontal="center" vertical="center"/>
    </xf>
    <xf numFmtId="0" fontId="12" fillId="0" borderId="0" xfId="4" applyFont="1" applyAlignment="1">
      <alignment horizontal="right" vertical="top" wrapText="1"/>
    </xf>
    <xf numFmtId="0" fontId="4" fillId="0" borderId="0" xfId="4" applyFont="1" applyFill="1" applyBorder="1" applyAlignment="1">
      <alignment horizontal="center" vertical="top" wrapText="1"/>
    </xf>
    <xf numFmtId="0" fontId="13" fillId="0" borderId="0" xfId="4" applyFont="1" applyFill="1" applyBorder="1" applyAlignment="1">
      <alignment horizontal="left" vertical="top" wrapText="1"/>
    </xf>
    <xf numFmtId="0" fontId="3" fillId="0" borderId="0" xfId="4" applyFont="1" applyAlignment="1">
      <alignment wrapText="1"/>
    </xf>
    <xf numFmtId="4" fontId="3" fillId="0" borderId="0" xfId="4" applyNumberFormat="1" applyFont="1" applyFill="1" applyBorder="1" applyAlignment="1">
      <alignment horizontal="center" wrapText="1"/>
    </xf>
    <xf numFmtId="0" fontId="3" fillId="0" borderId="0" xfId="4" applyFont="1" applyBorder="1" applyAlignment="1">
      <alignment wrapText="1"/>
    </xf>
    <xf numFmtId="0" fontId="4" fillId="0" borderId="0" xfId="4" applyFont="1" applyFill="1" applyBorder="1" applyAlignment="1">
      <alignment horizontal="center" wrapText="1"/>
    </xf>
    <xf numFmtId="4" fontId="3" fillId="0" borderId="0" xfId="4" applyNumberFormat="1" applyFont="1" applyFill="1" applyBorder="1" applyAlignment="1">
      <alignment horizontal="right" wrapText="1"/>
    </xf>
    <xf numFmtId="0" fontId="12" fillId="0" borderId="0" xfId="4" applyFont="1" applyAlignment="1">
      <alignment horizontal="left" wrapText="1"/>
    </xf>
    <xf numFmtId="0" fontId="14" fillId="0" borderId="0" xfId="4" applyFont="1" applyAlignment="1">
      <alignment wrapText="1"/>
    </xf>
    <xf numFmtId="0" fontId="12" fillId="0" borderId="0" xfId="4" applyFont="1" applyAlignment="1">
      <alignment wrapText="1"/>
    </xf>
    <xf numFmtId="0" fontId="4" fillId="0" borderId="0" xfId="4" applyFont="1" applyAlignment="1">
      <alignment wrapText="1"/>
    </xf>
    <xf numFmtId="4" fontId="4" fillId="0" borderId="0" xfId="4" applyNumberFormat="1" applyFont="1" applyFill="1" applyBorder="1" applyAlignment="1">
      <alignment horizontal="center" wrapText="1"/>
    </xf>
    <xf numFmtId="0" fontId="4" fillId="0" borderId="0" xfId="4" applyFont="1" applyBorder="1" applyAlignment="1">
      <alignment wrapText="1"/>
    </xf>
    <xf numFmtId="0" fontId="12" fillId="0" borderId="0" xfId="4" applyFont="1" applyAlignment="1">
      <alignment horizontal="left" vertical="top" wrapText="1"/>
    </xf>
    <xf numFmtId="0" fontId="14" fillId="0" borderId="0" xfId="4" applyFont="1" applyAlignment="1">
      <alignment horizontal="left" vertical="top" wrapText="1"/>
    </xf>
    <xf numFmtId="0" fontId="15" fillId="0" borderId="0" xfId="4" applyFont="1" applyAlignment="1">
      <alignment wrapText="1"/>
    </xf>
    <xf numFmtId="0" fontId="14" fillId="0" borderId="0" xfId="4" applyFont="1" applyAlignment="1">
      <alignment horizontal="left" wrapText="1"/>
    </xf>
    <xf numFmtId="0" fontId="12" fillId="0" borderId="4" xfId="4" applyFont="1" applyBorder="1" applyAlignment="1">
      <alignment horizontal="right" vertical="top" wrapText="1"/>
    </xf>
    <xf numFmtId="2" fontId="4" fillId="0" borderId="5" xfId="4" applyNumberFormat="1" applyFont="1" applyBorder="1" applyAlignment="1">
      <alignment wrapText="1"/>
    </xf>
    <xf numFmtId="0" fontId="12" fillId="0" borderId="6" xfId="4" applyFont="1" applyBorder="1" applyAlignment="1">
      <alignment wrapText="1"/>
    </xf>
    <xf numFmtId="0" fontId="3" fillId="0" borderId="0" xfId="4" applyFont="1" applyFill="1" applyBorder="1" applyAlignment="1">
      <alignment horizontal="center" vertical="top" wrapText="1"/>
    </xf>
    <xf numFmtId="0" fontId="3" fillId="0" borderId="0" xfId="4" applyFont="1" applyFill="1" applyBorder="1" applyAlignment="1">
      <alignment horizontal="left" vertical="top" wrapText="1"/>
    </xf>
    <xf numFmtId="0" fontId="3" fillId="0" borderId="0" xfId="4" applyFont="1" applyFill="1" applyBorder="1" applyAlignment="1">
      <alignment horizontal="center" wrapText="1"/>
    </xf>
    <xf numFmtId="0" fontId="3" fillId="0" borderId="0" xfId="4" applyFont="1" applyAlignment="1">
      <alignment horizontal="center" wrapText="1"/>
    </xf>
    <xf numFmtId="0" fontId="3" fillId="0" borderId="0" xfId="4" applyFont="1" applyAlignment="1">
      <alignment horizontal="justify" vertical="top" wrapText="1"/>
    </xf>
    <xf numFmtId="4" fontId="19" fillId="0" borderId="0" xfId="4" applyNumberFormat="1" applyFont="1" applyFill="1" applyAlignment="1">
      <alignment horizontal="right" wrapText="1"/>
    </xf>
    <xf numFmtId="4" fontId="3" fillId="0" borderId="0" xfId="4" applyNumberFormat="1" applyFont="1" applyAlignment="1">
      <alignment horizontal="right" wrapText="1"/>
    </xf>
    <xf numFmtId="4" fontId="19" fillId="0" borderId="0" xfId="4" applyNumberFormat="1" applyFont="1" applyFill="1" applyAlignment="1">
      <alignment horizontal="center" wrapText="1"/>
    </xf>
    <xf numFmtId="0" fontId="3" fillId="0" borderId="0" xfId="0" applyFont="1" applyBorder="1" applyAlignment="1">
      <alignment horizontal="left"/>
    </xf>
    <xf numFmtId="16" fontId="3" fillId="0" borderId="0" xfId="0" applyNumberFormat="1" applyFont="1" applyFill="1" applyBorder="1" applyAlignment="1">
      <alignment horizontal="center" vertical="center"/>
    </xf>
    <xf numFmtId="164" fontId="3" fillId="0" borderId="0" xfId="0" applyNumberFormat="1" applyFont="1" applyFill="1" applyBorder="1" applyAlignment="1">
      <alignment horizontal="center" vertical="center"/>
    </xf>
    <xf numFmtId="165" fontId="8" fillId="0" borderId="0" xfId="9" applyNumberFormat="1" applyBorder="1" applyAlignment="1" applyProtection="1">
      <alignment horizontal="center" vertical="center"/>
    </xf>
    <xf numFmtId="0" fontId="1" fillId="0" borderId="0" xfId="0" applyFont="1" applyAlignment="1">
      <alignment horizontal="center" vertical="center"/>
    </xf>
    <xf numFmtId="165" fontId="8" fillId="0" borderId="0" xfId="9" applyNumberFormat="1" applyBorder="1" applyAlignment="1" applyProtection="1">
      <alignment horizontal="center" vertical="center"/>
    </xf>
    <xf numFmtId="0" fontId="3" fillId="0" borderId="0" xfId="0" applyFont="1" applyBorder="1" applyAlignment="1">
      <alignment horizontal="left"/>
    </xf>
    <xf numFmtId="0" fontId="8" fillId="0" borderId="1" xfId="9" applyFont="1" applyBorder="1" applyAlignment="1" applyProtection="1">
      <alignment horizontal="center" vertical="center"/>
    </xf>
    <xf numFmtId="165" fontId="8" fillId="0" borderId="1" xfId="9" applyNumberFormat="1" applyBorder="1" applyAlignment="1" applyProtection="1">
      <alignment horizontal="center" vertical="center"/>
      <protection locked="0"/>
    </xf>
    <xf numFmtId="165" fontId="8" fillId="0" borderId="1" xfId="9" applyNumberFormat="1" applyBorder="1" applyAlignment="1" applyProtection="1">
      <alignment horizontal="center" vertical="center"/>
    </xf>
    <xf numFmtId="0" fontId="14" fillId="0" borderId="0" xfId="4" applyFont="1" applyAlignment="1">
      <alignment horizontal="left" vertical="top" wrapText="1"/>
    </xf>
    <xf numFmtId="0" fontId="3" fillId="0" borderId="0" xfId="0" applyFont="1" applyAlignment="1">
      <alignment wrapText="1"/>
    </xf>
    <xf numFmtId="0" fontId="4" fillId="0" borderId="10" xfId="0" applyNumberFormat="1" applyFont="1" applyBorder="1" applyAlignment="1" applyProtection="1">
      <alignment vertical="center"/>
    </xf>
    <xf numFmtId="0" fontId="4" fillId="0" borderId="11" xfId="0" applyNumberFormat="1" applyFont="1" applyBorder="1" applyAlignment="1" applyProtection="1">
      <alignment vertical="center"/>
    </xf>
    <xf numFmtId="0" fontId="4" fillId="0" borderId="11" xfId="0" applyNumberFormat="1" applyFont="1" applyBorder="1" applyAlignment="1" applyProtection="1">
      <alignment horizontal="center" vertical="center"/>
    </xf>
    <xf numFmtId="0" fontId="4" fillId="0" borderId="12" xfId="0" applyNumberFormat="1" applyFont="1" applyBorder="1" applyAlignment="1" applyProtection="1">
      <alignment vertical="center"/>
    </xf>
    <xf numFmtId="166" fontId="23" fillId="3" borderId="13" xfId="0" applyNumberFormat="1" applyFont="1" applyFill="1" applyBorder="1" applyAlignment="1" applyProtection="1">
      <alignment horizontal="left" vertical="center" wrapText="1"/>
    </xf>
    <xf numFmtId="0" fontId="23" fillId="3" borderId="14" xfId="0" applyFont="1" applyFill="1" applyBorder="1" applyAlignment="1" applyProtection="1">
      <alignment horizontal="left" vertical="center" wrapText="1"/>
    </xf>
    <xf numFmtId="4" fontId="23" fillId="3" borderId="14" xfId="0" applyNumberFormat="1" applyFont="1" applyFill="1" applyBorder="1" applyAlignment="1" applyProtection="1">
      <alignment horizontal="center" vertical="center" wrapText="1"/>
      <protection locked="0"/>
    </xf>
    <xf numFmtId="0" fontId="23" fillId="3" borderId="14" xfId="0" applyNumberFormat="1" applyFont="1" applyFill="1" applyBorder="1" applyAlignment="1" applyProtection="1">
      <alignment horizontal="center" vertical="center" wrapText="1"/>
      <protection locked="0"/>
    </xf>
    <xf numFmtId="4" fontId="23" fillId="3" borderId="15" xfId="0" applyNumberFormat="1" applyFont="1" applyFill="1" applyBorder="1" applyAlignment="1" applyProtection="1">
      <alignment horizontal="right" vertical="center" wrapText="1"/>
      <protection locked="0"/>
    </xf>
    <xf numFmtId="166" fontId="23" fillId="3" borderId="16" xfId="0" applyNumberFormat="1" applyFont="1" applyFill="1" applyBorder="1" applyAlignment="1" applyProtection="1">
      <alignment horizontal="left" vertical="center" wrapText="1"/>
    </xf>
    <xf numFmtId="0" fontId="23" fillId="4" borderId="17" xfId="0" applyFont="1" applyFill="1" applyBorder="1" applyAlignment="1" applyProtection="1">
      <alignment horizontal="justify" vertical="top" wrapText="1"/>
      <protection locked="0"/>
    </xf>
    <xf numFmtId="4" fontId="23" fillId="3" borderId="18" xfId="0" applyNumberFormat="1" applyFont="1" applyFill="1" applyBorder="1" applyAlignment="1" applyProtection="1">
      <alignment horizontal="center" vertical="center" wrapText="1"/>
      <protection locked="0"/>
    </xf>
    <xf numFmtId="0" fontId="23" fillId="3" borderId="18" xfId="0" applyNumberFormat="1" applyFont="1" applyFill="1" applyBorder="1" applyAlignment="1" applyProtection="1">
      <alignment horizontal="center" vertical="center" wrapText="1"/>
      <protection locked="0"/>
    </xf>
    <xf numFmtId="4" fontId="23" fillId="3" borderId="19" xfId="0" applyNumberFormat="1" applyFont="1" applyFill="1" applyBorder="1" applyAlignment="1" applyProtection="1">
      <alignment horizontal="right" vertical="center" wrapText="1"/>
      <protection locked="0"/>
    </xf>
    <xf numFmtId="14" fontId="24" fillId="2" borderId="20" xfId="0" applyNumberFormat="1" applyFont="1" applyFill="1" applyBorder="1" applyAlignment="1" applyProtection="1">
      <alignment horizontal="center" vertical="top" wrapText="1"/>
      <protection locked="0"/>
    </xf>
    <xf numFmtId="0" fontId="24" fillId="2" borderId="17" xfId="0" applyNumberFormat="1" applyFont="1" applyFill="1" applyBorder="1" applyAlignment="1" applyProtection="1">
      <alignment horizontal="left" vertical="top" wrapText="1"/>
      <protection locked="0"/>
    </xf>
    <xf numFmtId="4" fontId="24" fillId="2" borderId="17" xfId="0" applyNumberFormat="1" applyFont="1" applyFill="1" applyBorder="1" applyAlignment="1" applyProtection="1">
      <alignment horizontal="center" vertical="top" wrapText="1"/>
      <protection locked="0"/>
    </xf>
    <xf numFmtId="0" fontId="24" fillId="2" borderId="17" xfId="0" applyNumberFormat="1" applyFont="1" applyFill="1" applyBorder="1" applyAlignment="1" applyProtection="1">
      <alignment horizontal="center" vertical="top" wrapText="1"/>
      <protection locked="0"/>
    </xf>
    <xf numFmtId="4" fontId="24" fillId="2" borderId="21" xfId="0" applyNumberFormat="1" applyFont="1" applyFill="1" applyBorder="1" applyAlignment="1" applyProtection="1">
      <alignment horizontal="right" vertical="top" wrapText="1"/>
      <protection locked="0"/>
    </xf>
    <xf numFmtId="0" fontId="25" fillId="0" borderId="0" xfId="0" applyFont="1" applyFill="1" applyAlignment="1">
      <alignment wrapText="1"/>
    </xf>
    <xf numFmtId="166" fontId="26" fillId="0" borderId="20" xfId="0" applyNumberFormat="1" applyFont="1" applyFill="1" applyBorder="1" applyAlignment="1" applyProtection="1">
      <alignment horizontal="center" vertical="top" wrapText="1"/>
    </xf>
    <xf numFmtId="0" fontId="26" fillId="0" borderId="17" xfId="0" applyFont="1" applyBorder="1" applyAlignment="1" applyProtection="1">
      <alignment horizontal="justify" vertical="top" wrapText="1"/>
    </xf>
    <xf numFmtId="0" fontId="26" fillId="0" borderId="17" xfId="0" applyFont="1" applyFill="1" applyBorder="1" applyAlignment="1" applyProtection="1">
      <alignment horizontal="center" vertical="center" wrapText="1"/>
    </xf>
    <xf numFmtId="2" fontId="26" fillId="0" borderId="17" xfId="0" applyNumberFormat="1" applyFont="1" applyFill="1" applyBorder="1" applyAlignment="1" applyProtection="1">
      <alignment horizontal="center" vertical="center" wrapText="1"/>
      <protection locked="0"/>
    </xf>
    <xf numFmtId="4" fontId="26" fillId="0" borderId="17" xfId="0" applyNumberFormat="1" applyFont="1" applyBorder="1" applyAlignment="1">
      <alignment horizontal="center" vertical="center" wrapText="1"/>
    </xf>
    <xf numFmtId="4" fontId="3" fillId="0" borderId="21" xfId="0" applyNumberFormat="1" applyFont="1" applyBorder="1" applyAlignment="1">
      <alignment horizontal="right" vertical="center" wrapText="1"/>
    </xf>
    <xf numFmtId="0" fontId="26" fillId="0" borderId="0" xfId="0" applyFont="1" applyBorder="1" applyAlignment="1">
      <alignment wrapText="1"/>
    </xf>
    <xf numFmtId="0" fontId="26" fillId="0" borderId="0" xfId="0" applyFont="1" applyAlignment="1">
      <alignment wrapText="1"/>
    </xf>
    <xf numFmtId="49" fontId="26" fillId="0" borderId="20" xfId="0" applyNumberFormat="1" applyFont="1" applyFill="1" applyBorder="1" applyAlignment="1" applyProtection="1">
      <alignment horizontal="center" vertical="top" wrapText="1"/>
    </xf>
    <xf numFmtId="166" fontId="27" fillId="0" borderId="20" xfId="0" applyNumberFormat="1" applyFont="1" applyFill="1" applyBorder="1" applyAlignment="1" applyProtection="1">
      <alignment horizontal="center" vertical="top" wrapText="1"/>
    </xf>
    <xf numFmtId="0" fontId="23" fillId="0" borderId="17" xfId="0" applyFont="1" applyBorder="1" applyAlignment="1" applyProtection="1">
      <alignment horizontal="right" vertical="top" wrapText="1"/>
    </xf>
    <xf numFmtId="0" fontId="27" fillId="0" borderId="17" xfId="0" applyFont="1" applyFill="1" applyBorder="1" applyAlignment="1" applyProtection="1">
      <alignment horizontal="center" vertical="center" wrapText="1"/>
    </xf>
    <xf numFmtId="2" fontId="27" fillId="0" borderId="17" xfId="0" applyNumberFormat="1" applyFont="1" applyFill="1" applyBorder="1" applyAlignment="1" applyProtection="1">
      <alignment horizontal="center" vertical="center" wrapText="1"/>
      <protection locked="0"/>
    </xf>
    <xf numFmtId="4" fontId="27" fillId="0" borderId="17" xfId="0" applyNumberFormat="1" applyFont="1" applyBorder="1" applyAlignment="1">
      <alignment horizontal="center" vertical="center" wrapText="1"/>
    </xf>
    <xf numFmtId="4" fontId="23" fillId="0" borderId="21" xfId="0" applyNumberFormat="1" applyFont="1" applyBorder="1" applyAlignment="1">
      <alignment horizontal="right" vertical="center" wrapText="1"/>
    </xf>
    <xf numFmtId="0" fontId="27" fillId="0" borderId="0" xfId="0" applyFont="1" applyBorder="1" applyAlignment="1">
      <alignment wrapText="1"/>
    </xf>
    <xf numFmtId="0" fontId="27" fillId="0" borderId="0" xfId="0" applyFont="1" applyAlignment="1">
      <alignment wrapText="1"/>
    </xf>
    <xf numFmtId="4" fontId="26" fillId="0" borderId="21" xfId="0" applyNumberFormat="1" applyFont="1" applyBorder="1" applyAlignment="1">
      <alignment horizontal="right" vertical="center" wrapText="1"/>
    </xf>
    <xf numFmtId="0" fontId="23" fillId="0" borderId="17" xfId="0" applyFont="1" applyBorder="1" applyAlignment="1" applyProtection="1">
      <alignment horizontal="justify" vertical="top" wrapText="1"/>
    </xf>
    <xf numFmtId="0" fontId="29" fillId="0" borderId="17" xfId="0" applyFont="1" applyBorder="1" applyAlignment="1" applyProtection="1">
      <alignment horizontal="justify" vertical="top" wrapText="1"/>
    </xf>
    <xf numFmtId="4" fontId="4" fillId="0" borderId="21" xfId="0" applyNumberFormat="1" applyFont="1" applyBorder="1" applyAlignment="1">
      <alignment horizontal="right" vertical="center" wrapText="1"/>
    </xf>
    <xf numFmtId="166" fontId="26" fillId="0" borderId="7" xfId="0" applyNumberFormat="1" applyFont="1" applyFill="1" applyBorder="1" applyAlignment="1" applyProtection="1">
      <alignment horizontal="left" vertical="top" wrapText="1"/>
    </xf>
    <xf numFmtId="0" fontId="26" fillId="0" borderId="8" xfId="0" applyFont="1" applyBorder="1" applyAlignment="1" applyProtection="1">
      <alignment horizontal="left" vertical="top" wrapText="1"/>
    </xf>
    <xf numFmtId="0" fontId="26" fillId="0" borderId="8" xfId="0" applyFont="1" applyBorder="1" applyAlignment="1">
      <alignment horizontal="center" vertical="top" wrapText="1"/>
    </xf>
    <xf numFmtId="0" fontId="26" fillId="0" borderId="8" xfId="0" applyFont="1" applyBorder="1" applyAlignment="1" applyProtection="1">
      <alignment horizontal="center" vertical="top" wrapText="1"/>
      <protection locked="0"/>
    </xf>
    <xf numFmtId="0" fontId="3" fillId="0" borderId="8" xfId="0" applyFont="1" applyBorder="1" applyAlignment="1">
      <alignment horizontal="center" wrapText="1"/>
    </xf>
    <xf numFmtId="0" fontId="3" fillId="0" borderId="9" xfId="0" applyFont="1" applyBorder="1" applyAlignment="1">
      <alignment wrapText="1"/>
    </xf>
    <xf numFmtId="166" fontId="26" fillId="0" borderId="22" xfId="0" applyNumberFormat="1" applyFont="1" applyFill="1" applyBorder="1" applyAlignment="1" applyProtection="1">
      <alignment horizontal="left" vertical="top" wrapText="1"/>
    </xf>
    <xf numFmtId="0" fontId="26" fillId="0" borderId="0" xfId="0" applyFont="1" applyBorder="1" applyAlignment="1" applyProtection="1">
      <alignment horizontal="left" vertical="top" wrapText="1"/>
    </xf>
    <xf numFmtId="0" fontId="26" fillId="0" borderId="0" xfId="0" applyFont="1" applyBorder="1" applyAlignment="1">
      <alignment horizontal="center" vertical="top" wrapText="1"/>
    </xf>
    <xf numFmtId="0" fontId="26" fillId="0" borderId="0" xfId="0" applyFont="1" applyBorder="1" applyAlignment="1" applyProtection="1">
      <alignment horizontal="center" vertical="top" wrapText="1"/>
      <protection locked="0"/>
    </xf>
    <xf numFmtId="0" fontId="3" fillId="0" borderId="0" xfId="0" applyFont="1" applyBorder="1" applyAlignment="1">
      <alignment horizontal="center" wrapText="1"/>
    </xf>
    <xf numFmtId="0" fontId="3" fillId="0" borderId="23" xfId="0" applyFont="1" applyBorder="1" applyAlignment="1">
      <alignment wrapText="1"/>
    </xf>
    <xf numFmtId="166" fontId="23" fillId="2" borderId="13" xfId="0" applyNumberFormat="1" applyFont="1" applyFill="1" applyBorder="1" applyAlignment="1" applyProtection="1">
      <alignment horizontal="center" vertical="top" wrapText="1"/>
    </xf>
    <xf numFmtId="4" fontId="4" fillId="2" borderId="27" xfId="0" applyNumberFormat="1" applyFont="1" applyFill="1" applyBorder="1" applyAlignment="1" applyProtection="1">
      <alignment horizontal="right" vertical="top" wrapText="1"/>
      <protection locked="0"/>
    </xf>
    <xf numFmtId="49" fontId="23" fillId="0" borderId="28" xfId="0" applyNumberFormat="1" applyFont="1" applyFill="1" applyBorder="1" applyAlignment="1" applyProtection="1">
      <alignment horizontal="left" vertical="top" wrapText="1"/>
    </xf>
    <xf numFmtId="4" fontId="3" fillId="0" borderId="29" xfId="0" applyNumberFormat="1" applyFont="1" applyBorder="1" applyAlignment="1">
      <alignment wrapText="1"/>
    </xf>
    <xf numFmtId="166" fontId="26" fillId="0" borderId="30" xfId="0" applyNumberFormat="1" applyFont="1" applyFill="1" applyBorder="1" applyAlignment="1" applyProtection="1">
      <alignment horizontal="left" vertical="top" wrapText="1"/>
    </xf>
    <xf numFmtId="164" fontId="22" fillId="2" borderId="34" xfId="0" applyNumberFormat="1" applyFont="1" applyFill="1" applyBorder="1" applyAlignment="1">
      <alignment wrapText="1"/>
    </xf>
    <xf numFmtId="166" fontId="26" fillId="0" borderId="0" xfId="0" applyNumberFormat="1" applyFont="1" applyFill="1" applyBorder="1" applyAlignment="1" applyProtection="1">
      <alignment horizontal="left" vertical="top" wrapText="1"/>
    </xf>
    <xf numFmtId="0" fontId="22" fillId="0" borderId="0" xfId="0" applyFont="1" applyFill="1" applyBorder="1" applyAlignment="1" applyProtection="1">
      <alignment horizontal="right" vertical="center" wrapText="1"/>
    </xf>
    <xf numFmtId="0" fontId="22" fillId="0" borderId="0" xfId="0" applyFont="1" applyFill="1" applyBorder="1" applyAlignment="1" applyProtection="1">
      <alignment horizontal="center" vertical="center" wrapText="1"/>
    </xf>
    <xf numFmtId="0" fontId="32" fillId="0" borderId="0" xfId="0" applyFont="1" applyAlignment="1">
      <alignment horizontal="center"/>
    </xf>
    <xf numFmtId="0" fontId="34" fillId="0" borderId="0" xfId="0" applyFont="1" applyAlignment="1">
      <alignment horizontal="center"/>
    </xf>
    <xf numFmtId="0" fontId="0" fillId="0" borderId="0" xfId="0" applyFill="1"/>
    <xf numFmtId="0" fontId="35" fillId="0" borderId="0" xfId="0" applyFont="1" applyFill="1" applyAlignment="1">
      <alignment horizontal="center"/>
    </xf>
    <xf numFmtId="167" fontId="35" fillId="0" borderId="0" xfId="0" applyNumberFormat="1" applyFont="1" applyAlignment="1">
      <alignment horizontal="center"/>
    </xf>
    <xf numFmtId="0" fontId="34" fillId="0" borderId="0" xfId="0" applyFont="1" applyAlignment="1">
      <alignment horizontal="center" vertical="top" wrapText="1"/>
    </xf>
    <xf numFmtId="49" fontId="34" fillId="0" borderId="0" xfId="0" applyNumberFormat="1" applyFont="1" applyFill="1" applyAlignment="1">
      <alignment vertical="top" wrapText="1"/>
    </xf>
    <xf numFmtId="0" fontId="34" fillId="0" borderId="0" xfId="0" applyFont="1" applyFill="1" applyAlignment="1">
      <alignment horizontal="left" vertical="top" wrapText="1"/>
    </xf>
    <xf numFmtId="0" fontId="34" fillId="0" borderId="0" xfId="0" applyFont="1" applyFill="1" applyAlignment="1">
      <alignment vertical="top" wrapText="1"/>
    </xf>
    <xf numFmtId="0" fontId="36" fillId="0" borderId="0" xfId="0" applyFont="1" applyFill="1" applyAlignment="1">
      <alignment horizontal="center"/>
    </xf>
    <xf numFmtId="0" fontId="37" fillId="0" borderId="0" xfId="0" applyFont="1" applyFill="1" applyAlignment="1">
      <alignment horizontal="center"/>
    </xf>
    <xf numFmtId="0" fontId="34" fillId="0" borderId="35" xfId="0" applyFont="1" applyBorder="1" applyAlignment="1">
      <alignment horizontal="center"/>
    </xf>
    <xf numFmtId="0" fontId="0" fillId="0" borderId="2" xfId="0" applyBorder="1"/>
    <xf numFmtId="0" fontId="35" fillId="0" borderId="2" xfId="0" applyFont="1" applyFill="1" applyBorder="1" applyAlignment="1">
      <alignment horizontal="center"/>
    </xf>
    <xf numFmtId="167" fontId="35" fillId="0" borderId="36" xfId="0" applyNumberFormat="1" applyFont="1" applyBorder="1" applyAlignment="1">
      <alignment horizontal="center"/>
    </xf>
    <xf numFmtId="0" fontId="33" fillId="0" borderId="37" xfId="0" applyFont="1" applyBorder="1" applyAlignment="1">
      <alignment horizontal="center"/>
    </xf>
    <xf numFmtId="0" fontId="34" fillId="0" borderId="39" xfId="0" applyFont="1" applyBorder="1" applyAlignment="1">
      <alignment horizontal="center"/>
    </xf>
    <xf numFmtId="0" fontId="35" fillId="0" borderId="1" xfId="0" applyFont="1" applyFill="1" applyBorder="1" applyAlignment="1">
      <alignment horizontal="center"/>
    </xf>
    <xf numFmtId="167" fontId="35" fillId="0" borderId="40" xfId="0" applyNumberFormat="1" applyFont="1" applyBorder="1" applyAlignment="1">
      <alignment horizontal="center"/>
    </xf>
    <xf numFmtId="0" fontId="36" fillId="0" borderId="0" xfId="0" applyFont="1" applyAlignment="1">
      <alignment horizontal="center" vertical="top" wrapText="1"/>
    </xf>
    <xf numFmtId="0" fontId="35" fillId="0" borderId="0" xfId="0" applyFont="1" applyAlignment="1">
      <alignment horizontal="justify"/>
    </xf>
    <xf numFmtId="0" fontId="36" fillId="0" borderId="0" xfId="0" applyFont="1" applyAlignment="1">
      <alignment horizontal="center" vertical="top"/>
    </xf>
    <xf numFmtId="0" fontId="36" fillId="0" borderId="0" xfId="0" applyFont="1" applyAlignment="1">
      <alignment vertical="top" wrapText="1"/>
    </xf>
    <xf numFmtId="0" fontId="40" fillId="0" borderId="0" xfId="0" applyFont="1"/>
    <xf numFmtId="0" fontId="36" fillId="0" borderId="0" xfId="0" applyFont="1" applyAlignment="1">
      <alignment horizontal="center" vertical="top" wrapText="1"/>
    </xf>
    <xf numFmtId="0" fontId="34" fillId="0" borderId="0" xfId="0" applyFont="1" applyAlignment="1">
      <alignment horizontal="left" vertical="top" wrapText="1"/>
    </xf>
    <xf numFmtId="0" fontId="34" fillId="0" borderId="0" xfId="0" applyFont="1" applyAlignment="1">
      <alignment horizontal="justify" vertical="top" wrapText="1"/>
    </xf>
    <xf numFmtId="0" fontId="34" fillId="0" borderId="0" xfId="0" applyFont="1" applyAlignment="1">
      <alignment horizontal="justify" vertical="top"/>
    </xf>
    <xf numFmtId="0" fontId="36" fillId="0" borderId="0" xfId="0" applyFont="1"/>
    <xf numFmtId="0" fontId="36" fillId="0" borderId="0" xfId="0" applyFont="1" applyAlignment="1">
      <alignment horizontal="justify"/>
    </xf>
    <xf numFmtId="167" fontId="36" fillId="0" borderId="0" xfId="0" applyNumberFormat="1" applyFont="1" applyAlignment="1">
      <alignment horizontal="center"/>
    </xf>
    <xf numFmtId="0" fontId="36" fillId="0" borderId="0" xfId="0" applyFont="1" applyAlignment="1">
      <alignment horizontal="center"/>
    </xf>
    <xf numFmtId="0" fontId="41" fillId="0" borderId="0" xfId="0" applyFont="1" applyAlignment="1">
      <alignment horizontal="center" vertical="top"/>
    </xf>
    <xf numFmtId="0" fontId="41" fillId="0" borderId="0" xfId="0" applyFont="1" applyAlignment="1">
      <alignment horizontal="justify"/>
    </xf>
    <xf numFmtId="0" fontId="41" fillId="0" borderId="0" xfId="0" applyFont="1" applyAlignment="1">
      <alignment horizontal="center"/>
    </xf>
    <xf numFmtId="0" fontId="41" fillId="0" borderId="0" xfId="0" applyFont="1" applyFill="1" applyAlignment="1">
      <alignment horizontal="center"/>
    </xf>
    <xf numFmtId="167" fontId="41" fillId="0" borderId="0" xfId="0" applyNumberFormat="1" applyFont="1" applyAlignment="1">
      <alignment horizontal="center"/>
    </xf>
    <xf numFmtId="0" fontId="35" fillId="0" borderId="0" xfId="0" applyFont="1" applyAlignment="1">
      <alignment horizontal="center" vertical="top"/>
    </xf>
    <xf numFmtId="0" fontId="35" fillId="0" borderId="0" xfId="0" applyFont="1" applyAlignment="1">
      <alignment horizontal="center"/>
    </xf>
    <xf numFmtId="0" fontId="42" fillId="0" borderId="0" xfId="0" applyFont="1"/>
    <xf numFmtId="4" fontId="3" fillId="0" borderId="17" xfId="0" applyNumberFormat="1" applyFont="1" applyBorder="1" applyAlignment="1">
      <alignment horizontal="center" vertical="center" wrapText="1"/>
    </xf>
    <xf numFmtId="0" fontId="30" fillId="0" borderId="17" xfId="0" applyFont="1" applyBorder="1" applyAlignment="1" applyProtection="1">
      <alignment horizontal="justify" vertical="top" wrapText="1"/>
    </xf>
    <xf numFmtId="0" fontId="26" fillId="0" borderId="17" xfId="0" applyFont="1" applyBorder="1" applyAlignment="1" applyProtection="1">
      <alignment horizontal="justify" wrapText="1"/>
    </xf>
    <xf numFmtId="168" fontId="3" fillId="0" borderId="21" xfId="0" applyNumberFormat="1" applyFont="1" applyBorder="1" applyAlignment="1">
      <alignment horizontal="right" vertical="center" wrapText="1"/>
    </xf>
    <xf numFmtId="168" fontId="26" fillId="0" borderId="17" xfId="0" applyNumberFormat="1" applyFont="1" applyBorder="1" applyAlignment="1">
      <alignment horizontal="right" vertical="center" wrapText="1"/>
    </xf>
    <xf numFmtId="0" fontId="26" fillId="0" borderId="18" xfId="0" applyFont="1" applyFill="1" applyBorder="1" applyAlignment="1" applyProtection="1">
      <alignment vertical="center" wrapText="1"/>
    </xf>
    <xf numFmtId="4" fontId="3" fillId="0" borderId="18" xfId="0" applyNumberFormat="1" applyFont="1" applyBorder="1" applyAlignment="1">
      <alignment horizontal="center" vertical="center" wrapText="1"/>
    </xf>
    <xf numFmtId="4" fontId="3" fillId="0" borderId="19" xfId="0" applyNumberFormat="1" applyFont="1" applyBorder="1" applyAlignment="1">
      <alignment vertical="center" wrapText="1"/>
    </xf>
    <xf numFmtId="4" fontId="3" fillId="0" borderId="41" xfId="0" applyNumberFormat="1" applyFont="1" applyBorder="1" applyAlignment="1">
      <alignment horizontal="right" vertical="center" wrapText="1"/>
    </xf>
    <xf numFmtId="0" fontId="1" fillId="0" borderId="0" xfId="0" applyFont="1" applyAlignment="1">
      <alignment horizontal="center" vertical="center"/>
    </xf>
    <xf numFmtId="0" fontId="0" fillId="0" borderId="0" xfId="0" applyAlignment="1">
      <alignment horizontal="justify" vertical="top" wrapText="1"/>
    </xf>
    <xf numFmtId="0" fontId="34" fillId="0" borderId="0" xfId="0" applyFont="1"/>
    <xf numFmtId="0" fontId="45" fillId="0" borderId="42" xfId="0" applyFont="1" applyBorder="1" applyAlignment="1">
      <alignment horizontal="center" vertical="top" wrapText="1"/>
    </xf>
    <xf numFmtId="0" fontId="45" fillId="0" borderId="43" xfId="0" applyFont="1" applyBorder="1" applyAlignment="1">
      <alignment horizontal="center" vertical="top" wrapText="1"/>
    </xf>
    <xf numFmtId="0" fontId="45" fillId="0" borderId="43" xfId="0" applyFont="1" applyBorder="1" applyAlignment="1">
      <alignment horizontal="center" wrapText="1"/>
    </xf>
    <xf numFmtId="0" fontId="45" fillId="0" borderId="43" xfId="0" applyFont="1" applyFill="1" applyBorder="1" applyAlignment="1">
      <alignment horizontal="center" vertical="top" wrapText="1"/>
    </xf>
    <xf numFmtId="0" fontId="45" fillId="0" borderId="43" xfId="0" applyNumberFormat="1" applyFont="1" applyFill="1" applyBorder="1" applyAlignment="1">
      <alignment horizontal="center" wrapText="1"/>
    </xf>
    <xf numFmtId="0" fontId="45" fillId="0" borderId="43" xfId="0" applyNumberFormat="1" applyFont="1" applyBorder="1" applyAlignment="1">
      <alignment horizontal="center" wrapText="1"/>
    </xf>
    <xf numFmtId="0" fontId="45" fillId="0" borderId="44" xfId="0" applyFont="1" applyBorder="1" applyAlignment="1">
      <alignment horizontal="center" vertical="top" wrapText="1"/>
    </xf>
    <xf numFmtId="0" fontId="45" fillId="0" borderId="45" xfId="0" applyFont="1" applyBorder="1" applyAlignment="1">
      <alignment horizontal="center" vertical="top" wrapText="1"/>
    </xf>
    <xf numFmtId="0" fontId="45" fillId="0" borderId="45" xfId="0" applyFont="1" applyBorder="1" applyAlignment="1">
      <alignment horizontal="center" wrapText="1"/>
    </xf>
    <xf numFmtId="0" fontId="45" fillId="0" borderId="45" xfId="0" applyFont="1" applyFill="1" applyBorder="1" applyAlignment="1">
      <alignment horizontal="center" wrapText="1"/>
    </xf>
    <xf numFmtId="0" fontId="45" fillId="0" borderId="45" xfId="0" applyNumberFormat="1" applyFont="1" applyFill="1" applyBorder="1" applyAlignment="1">
      <alignment horizontal="center" wrapText="1"/>
    </xf>
    <xf numFmtId="0" fontId="45" fillId="0" borderId="45" xfId="0" applyNumberFormat="1" applyFont="1" applyBorder="1" applyAlignment="1">
      <alignment horizontal="center" wrapText="1"/>
    </xf>
    <xf numFmtId="0" fontId="45" fillId="0" borderId="0" xfId="0" applyFont="1" applyAlignment="1">
      <alignment horizontal="center" vertical="top" wrapText="1"/>
    </xf>
    <xf numFmtId="0" fontId="35" fillId="0" borderId="0" xfId="0" applyFont="1" applyAlignment="1">
      <alignment horizontal="justify" vertical="top" wrapText="1"/>
    </xf>
    <xf numFmtId="0" fontId="35" fillId="0" borderId="0" xfId="0" applyFont="1" applyAlignment="1">
      <alignment horizontal="center" wrapText="1"/>
    </xf>
    <xf numFmtId="0" fontId="35" fillId="0" borderId="0" xfId="0" applyFont="1" applyFill="1" applyAlignment="1">
      <alignment horizontal="center" wrapText="1"/>
    </xf>
    <xf numFmtId="43" fontId="35" fillId="0" borderId="0" xfId="0" applyNumberFormat="1" applyFont="1" applyFill="1" applyAlignment="1">
      <alignment horizontal="center" wrapText="1"/>
    </xf>
    <xf numFmtId="167" fontId="35" fillId="0" borderId="0" xfId="0" applyNumberFormat="1" applyFont="1" applyAlignment="1">
      <alignment horizontal="center" wrapText="1"/>
    </xf>
    <xf numFmtId="0" fontId="34" fillId="5" borderId="5" xfId="0" applyFont="1" applyFill="1" applyBorder="1" applyAlignment="1">
      <alignment horizontal="center" vertical="center" wrapText="1"/>
    </xf>
    <xf numFmtId="0" fontId="34" fillId="5" borderId="5" xfId="0" applyFont="1" applyFill="1" applyBorder="1" applyAlignment="1">
      <alignment horizontal="justify" vertical="top" wrapText="1"/>
    </xf>
    <xf numFmtId="0" fontId="36" fillId="5" borderId="5" xfId="0" applyFont="1" applyFill="1" applyBorder="1" applyAlignment="1">
      <alignment horizontal="center" wrapText="1"/>
    </xf>
    <xf numFmtId="43" fontId="36" fillId="5" borderId="5" xfId="0" applyNumberFormat="1" applyFont="1" applyFill="1" applyBorder="1" applyAlignment="1">
      <alignment horizontal="center" wrapText="1"/>
    </xf>
    <xf numFmtId="167" fontId="36" fillId="5" borderId="5" xfId="0" applyNumberFormat="1" applyFont="1" applyFill="1" applyBorder="1" applyAlignment="1">
      <alignment horizontal="center" wrapText="1"/>
    </xf>
    <xf numFmtId="0" fontId="45" fillId="0" borderId="0" xfId="0" applyFont="1" applyAlignment="1">
      <alignment horizontal="justify" vertical="top" wrapText="1"/>
    </xf>
    <xf numFmtId="0" fontId="45" fillId="0" borderId="0" xfId="0" applyFont="1" applyFill="1" applyBorder="1" applyAlignment="1">
      <alignment horizontal="left" vertical="top" wrapText="1"/>
    </xf>
    <xf numFmtId="0" fontId="45" fillId="5" borderId="4" xfId="0" applyFont="1" applyFill="1" applyBorder="1" applyAlignment="1">
      <alignment horizontal="center" vertical="top" wrapText="1"/>
    </xf>
    <xf numFmtId="0" fontId="45" fillId="5" borderId="5" xfId="0" applyFont="1" applyFill="1" applyBorder="1" applyAlignment="1">
      <alignment horizontal="justify" vertical="top" wrapText="1"/>
    </xf>
    <xf numFmtId="0" fontId="35" fillId="5" borderId="5" xfId="0" applyFont="1" applyFill="1" applyBorder="1" applyAlignment="1">
      <alignment horizontal="center" wrapText="1"/>
    </xf>
    <xf numFmtId="43" fontId="35" fillId="5" borderId="5" xfId="0" applyNumberFormat="1" applyFont="1" applyFill="1" applyBorder="1" applyAlignment="1">
      <alignment horizontal="center" wrapText="1"/>
    </xf>
    <xf numFmtId="167" fontId="35" fillId="5" borderId="6" xfId="0" applyNumberFormat="1" applyFont="1" applyFill="1" applyBorder="1" applyAlignment="1">
      <alignment horizontal="center" wrapText="1"/>
    </xf>
    <xf numFmtId="0" fontId="35" fillId="0" borderId="0" xfId="0" applyFont="1" applyAlignment="1">
      <alignment horizontal="center" vertical="top" wrapText="1"/>
    </xf>
    <xf numFmtId="0" fontId="35" fillId="0" borderId="0" xfId="0" applyFont="1" applyFill="1" applyAlignment="1">
      <alignment horizontal="center" vertical="top" wrapText="1"/>
    </xf>
    <xf numFmtId="167" fontId="35" fillId="0" borderId="0" xfId="0" applyNumberFormat="1" applyFont="1" applyAlignment="1">
      <alignment horizontal="center" vertical="top" wrapText="1"/>
    </xf>
    <xf numFmtId="0" fontId="46" fillId="0" borderId="0" xfId="0" applyFont="1" applyFill="1" applyAlignment="1">
      <alignment horizontal="justify" vertical="top" wrapText="1"/>
    </xf>
    <xf numFmtId="9" fontId="35" fillId="0" borderId="0" xfId="0" applyNumberFormat="1" applyFont="1" applyFill="1" applyAlignment="1">
      <alignment horizontal="center" vertical="top" wrapText="1"/>
    </xf>
    <xf numFmtId="0" fontId="46" fillId="0" borderId="0" xfId="0" applyFont="1"/>
    <xf numFmtId="0" fontId="35" fillId="0" borderId="0" xfId="0" applyNumberFormat="1" applyFont="1" applyFill="1" applyAlignment="1">
      <alignment horizontal="center" vertical="top" wrapText="1"/>
    </xf>
    <xf numFmtId="43" fontId="35" fillId="0" borderId="0" xfId="12" applyFont="1" applyAlignment="1">
      <alignment horizontal="center" wrapText="1"/>
    </xf>
    <xf numFmtId="43" fontId="46" fillId="0" borderId="0" xfId="12" applyFont="1"/>
    <xf numFmtId="0" fontId="46" fillId="0" borderId="0" xfId="0" applyFont="1" applyAlignment="1">
      <alignment horizontal="justify" vertical="top" wrapText="1"/>
    </xf>
    <xf numFmtId="0" fontId="47" fillId="0" borderId="0" xfId="0" applyFont="1" applyAlignment="1">
      <alignment horizontal="justify" vertical="top" wrapText="1"/>
    </xf>
    <xf numFmtId="0" fontId="49" fillId="0" borderId="0" xfId="0" applyFont="1" applyFill="1" applyAlignment="1">
      <alignment horizontal="justify" vertical="center"/>
    </xf>
    <xf numFmtId="0" fontId="51" fillId="0" borderId="0" xfId="0" applyFont="1" applyFill="1" applyAlignment="1">
      <alignment vertical="top" wrapText="1"/>
    </xf>
    <xf numFmtId="0" fontId="51" fillId="0" borderId="0" xfId="0" applyFont="1" applyFill="1" applyAlignment="1">
      <alignment vertical="top"/>
    </xf>
    <xf numFmtId="0" fontId="49" fillId="0" borderId="0" xfId="0" applyFont="1" applyFill="1" applyAlignment="1">
      <alignment horizontal="center" vertical="center" wrapText="1"/>
    </xf>
    <xf numFmtId="0" fontId="14" fillId="0" borderId="0" xfId="0" applyFont="1" applyFill="1" applyAlignment="1">
      <alignment horizontal="center" vertical="center" wrapText="1"/>
    </xf>
    <xf numFmtId="167" fontId="35" fillId="0" borderId="0" xfId="0" applyNumberFormat="1" applyFont="1" applyFill="1" applyAlignment="1">
      <alignment horizontal="center" vertical="top" wrapText="1"/>
    </xf>
    <xf numFmtId="0" fontId="48" fillId="0" borderId="0" xfId="0" applyFont="1" applyFill="1"/>
    <xf numFmtId="0" fontId="35" fillId="0" borderId="0" xfId="0" applyFont="1" applyFill="1" applyAlignment="1">
      <alignment horizontal="justify" vertical="top" wrapText="1"/>
    </xf>
    <xf numFmtId="43" fontId="35" fillId="0" borderId="0" xfId="0" applyNumberFormat="1" applyFont="1" applyFill="1" applyAlignment="1">
      <alignment vertical="top" wrapText="1"/>
    </xf>
    <xf numFmtId="43" fontId="35" fillId="0" borderId="0" xfId="0" applyNumberFormat="1" applyFont="1" applyFill="1" applyAlignment="1"/>
    <xf numFmtId="169" fontId="4" fillId="0" borderId="0" xfId="0" applyNumberFormat="1" applyFont="1" applyFill="1" applyBorder="1" applyAlignment="1">
      <alignment horizontal="center" vertical="center" shrinkToFit="1"/>
    </xf>
    <xf numFmtId="0" fontId="14" fillId="0" borderId="0" xfId="0" applyFont="1" applyFill="1" applyBorder="1" applyAlignment="1">
      <alignment horizontal="justify" vertical="top"/>
    </xf>
    <xf numFmtId="4" fontId="3" fillId="0" borderId="0" xfId="0" applyNumberFormat="1" applyFont="1" applyFill="1" applyBorder="1" applyAlignment="1">
      <alignment horizontal="right" wrapText="1"/>
    </xf>
    <xf numFmtId="4" fontId="3" fillId="0" borderId="0" xfId="0" applyNumberFormat="1" applyFont="1" applyFill="1" applyBorder="1" applyAlignment="1">
      <alignment horizontal="right" shrinkToFit="1"/>
    </xf>
    <xf numFmtId="4" fontId="3" fillId="0" borderId="0" xfId="0" applyNumberFormat="1" applyFont="1" applyFill="1" applyBorder="1" applyAlignment="1">
      <alignment shrinkToFit="1"/>
    </xf>
    <xf numFmtId="0" fontId="35" fillId="0" borderId="0" xfId="0" applyNumberFormat="1" applyFont="1" applyFill="1" applyAlignment="1">
      <alignment horizontal="center" wrapText="1"/>
    </xf>
    <xf numFmtId="49" fontId="34" fillId="0" borderId="35" xfId="0" applyNumberFormat="1" applyFont="1" applyBorder="1" applyAlignment="1">
      <alignment horizontal="center" vertical="top" wrapText="1"/>
    </xf>
    <xf numFmtId="0" fontId="34" fillId="0" borderId="2" xfId="0" applyFont="1" applyBorder="1" applyAlignment="1">
      <alignment horizontal="justify" vertical="top" wrapText="1"/>
    </xf>
    <xf numFmtId="0" fontId="35" fillId="0" borderId="2" xfId="0" applyFont="1" applyBorder="1" applyAlignment="1">
      <alignment horizontal="center" vertical="top" wrapText="1"/>
    </xf>
    <xf numFmtId="0" fontId="35" fillId="0" borderId="2" xfId="0" applyFont="1" applyFill="1" applyBorder="1" applyAlignment="1">
      <alignment horizontal="center" vertical="top" wrapText="1"/>
    </xf>
    <xf numFmtId="43" fontId="35" fillId="0" borderId="2" xfId="0" applyNumberFormat="1" applyFont="1" applyFill="1" applyBorder="1" applyAlignment="1">
      <alignment horizontal="center" wrapText="1"/>
    </xf>
    <xf numFmtId="167" fontId="35" fillId="0" borderId="36" xfId="0" applyNumberFormat="1" applyFont="1" applyBorder="1" applyAlignment="1">
      <alignment horizontal="center" vertical="top" wrapText="1"/>
    </xf>
    <xf numFmtId="0" fontId="45" fillId="0" borderId="37" xfId="0" applyFont="1" applyBorder="1" applyAlignment="1">
      <alignment horizontal="center" vertical="top" wrapText="1"/>
    </xf>
    <xf numFmtId="0" fontId="36" fillId="0" borderId="0" xfId="0" applyFont="1" applyBorder="1" applyAlignment="1">
      <alignment horizontal="justify" vertical="top" wrapText="1"/>
    </xf>
    <xf numFmtId="0" fontId="35" fillId="0" borderId="0" xfId="0" applyFont="1" applyBorder="1" applyAlignment="1">
      <alignment horizontal="center" vertical="top" wrapText="1"/>
    </xf>
    <xf numFmtId="0" fontId="35" fillId="0" borderId="0" xfId="0" applyFont="1" applyFill="1" applyBorder="1" applyAlignment="1">
      <alignment horizontal="center" vertical="top" wrapText="1"/>
    </xf>
    <xf numFmtId="43" fontId="35" fillId="0" borderId="0" xfId="0" applyNumberFormat="1" applyFont="1" applyFill="1" applyBorder="1" applyAlignment="1">
      <alignment horizontal="center" wrapText="1"/>
    </xf>
    <xf numFmtId="167" fontId="35" fillId="0" borderId="38" xfId="0" applyNumberFormat="1" applyFont="1" applyBorder="1" applyAlignment="1">
      <alignment horizontal="center" vertical="top" wrapText="1"/>
    </xf>
    <xf numFmtId="0" fontId="34" fillId="0" borderId="0" xfId="0" applyFont="1" applyBorder="1" applyAlignment="1">
      <alignment horizontal="right" vertical="top" wrapText="1"/>
    </xf>
    <xf numFmtId="0" fontId="45" fillId="0" borderId="39" xfId="0" applyFont="1" applyBorder="1" applyAlignment="1">
      <alignment horizontal="center" vertical="top" wrapText="1"/>
    </xf>
    <xf numFmtId="0" fontId="53" fillId="0" borderId="1" xfId="0" applyFont="1" applyBorder="1" applyAlignment="1">
      <alignment horizontal="justify" vertical="top" wrapText="1"/>
    </xf>
    <xf numFmtId="0" fontId="35" fillId="0" borderId="1" xfId="0" applyFont="1" applyBorder="1" applyAlignment="1">
      <alignment horizontal="center" vertical="top" wrapText="1"/>
    </xf>
    <xf numFmtId="0" fontId="35" fillId="0" borderId="1" xfId="0" applyFont="1" applyFill="1" applyBorder="1" applyAlignment="1">
      <alignment horizontal="center" vertical="top" wrapText="1"/>
    </xf>
    <xf numFmtId="43" fontId="35" fillId="0" borderId="1" xfId="0" applyNumberFormat="1" applyFont="1" applyFill="1" applyBorder="1" applyAlignment="1">
      <alignment horizontal="center" wrapText="1"/>
    </xf>
    <xf numFmtId="167" fontId="35" fillId="0" borderId="40" xfId="0" applyNumberFormat="1" applyFont="1" applyBorder="1" applyAlignment="1">
      <alignment horizontal="center" vertical="top" wrapText="1"/>
    </xf>
    <xf numFmtId="0" fontId="45" fillId="0" borderId="0" xfId="0" applyFont="1" applyFill="1" applyBorder="1" applyAlignment="1">
      <alignment horizontal="center" vertical="top" wrapText="1"/>
    </xf>
    <xf numFmtId="0" fontId="53" fillId="0" borderId="0" xfId="0" applyFont="1" applyFill="1" applyBorder="1" applyAlignment="1">
      <alignment horizontal="justify" vertical="top" wrapText="1"/>
    </xf>
    <xf numFmtId="167" fontId="35" fillId="0" borderId="0" xfId="0" applyNumberFormat="1" applyFont="1" applyFill="1" applyBorder="1" applyAlignment="1">
      <alignment horizontal="center" vertical="top" wrapText="1"/>
    </xf>
    <xf numFmtId="0" fontId="45" fillId="0" borderId="0" xfId="0" applyFont="1" applyFill="1" applyAlignment="1">
      <alignment horizontal="center" vertical="top" wrapText="1"/>
    </xf>
    <xf numFmtId="167" fontId="35" fillId="0" borderId="0" xfId="0" applyNumberFormat="1" applyFont="1" applyFill="1" applyAlignment="1">
      <alignment horizontal="center" wrapText="1"/>
    </xf>
    <xf numFmtId="14" fontId="35" fillId="0" borderId="0" xfId="0" applyNumberFormat="1" applyFont="1" applyFill="1" applyAlignment="1">
      <alignment horizontal="center" vertical="top" wrapText="1"/>
    </xf>
    <xf numFmtId="0" fontId="45" fillId="0" borderId="0" xfId="0" applyFont="1" applyFill="1" applyAlignment="1">
      <alignment horizontal="justify" vertical="top" wrapText="1"/>
    </xf>
    <xf numFmtId="43" fontId="35" fillId="0" borderId="0" xfId="0" applyNumberFormat="1" applyFont="1" applyFill="1" applyAlignment="1">
      <alignment horizontal="center"/>
    </xf>
    <xf numFmtId="167" fontId="49" fillId="0" borderId="0" xfId="0" applyNumberFormat="1" applyFont="1" applyFill="1" applyAlignment="1">
      <alignment horizontal="center" wrapText="1"/>
    </xf>
    <xf numFmtId="167" fontId="49" fillId="0" borderId="0" xfId="0" applyNumberFormat="1" applyFont="1" applyFill="1" applyAlignment="1">
      <alignment horizontal="center" vertical="top" wrapText="1"/>
    </xf>
    <xf numFmtId="43" fontId="54" fillId="0" borderId="0" xfId="0" applyNumberFormat="1" applyFont="1" applyFill="1" applyAlignment="1">
      <alignment horizontal="center" wrapText="1"/>
    </xf>
    <xf numFmtId="0" fontId="14" fillId="0" borderId="0" xfId="0" applyFont="1" applyFill="1" applyAlignment="1">
      <alignment horizontal="center" vertical="top" wrapText="1"/>
    </xf>
    <xf numFmtId="0" fontId="46" fillId="0" borderId="0" xfId="0" applyFont="1" applyFill="1" applyAlignment="1" applyProtection="1">
      <alignment horizontal="center" vertical="top"/>
    </xf>
    <xf numFmtId="0" fontId="46" fillId="0" borderId="0" xfId="0" applyFont="1" applyFill="1" applyAlignment="1" applyProtection="1">
      <alignment horizontal="justify" vertical="top" wrapText="1"/>
    </xf>
    <xf numFmtId="0" fontId="46" fillId="0" borderId="0" xfId="0" applyFont="1" applyFill="1" applyAlignment="1" applyProtection="1">
      <alignment horizontal="center" vertical="center" wrapText="1"/>
    </xf>
    <xf numFmtId="167" fontId="47" fillId="0" borderId="0" xfId="0" applyNumberFormat="1" applyFont="1" applyFill="1" applyAlignment="1" applyProtection="1">
      <alignment horizontal="center"/>
    </xf>
    <xf numFmtId="167" fontId="47" fillId="0" borderId="0" xfId="0" applyNumberFormat="1" applyFont="1" applyFill="1" applyAlignment="1" applyProtection="1"/>
    <xf numFmtId="0" fontId="56" fillId="0" borderId="0" xfId="0" applyFont="1" applyFill="1" applyBorder="1" applyAlignment="1">
      <alignment horizontal="left" vertical="top" wrapText="1"/>
    </xf>
    <xf numFmtId="0" fontId="46" fillId="0" borderId="0" xfId="0" applyFont="1" applyFill="1" applyAlignment="1">
      <alignment horizontal="center"/>
    </xf>
    <xf numFmtId="0" fontId="35" fillId="0" borderId="0" xfId="0" applyFont="1" applyFill="1" applyAlignment="1">
      <alignment horizontal="center" vertical="top"/>
    </xf>
    <xf numFmtId="167" fontId="35" fillId="0" borderId="0" xfId="0" applyNumberFormat="1" applyFont="1" applyFill="1" applyAlignment="1">
      <alignment horizontal="center"/>
    </xf>
    <xf numFmtId="16" fontId="35" fillId="0" borderId="0" xfId="0" applyNumberFormat="1" applyFont="1" applyFill="1" applyBorder="1" applyAlignment="1">
      <alignment horizontal="center" vertical="center" wrapText="1"/>
    </xf>
    <xf numFmtId="0" fontId="14" fillId="0" borderId="0" xfId="0" applyFont="1" applyBorder="1" applyAlignment="1">
      <alignment horizontal="justify" vertical="top" wrapText="1"/>
    </xf>
    <xf numFmtId="167" fontId="45" fillId="0" borderId="0" xfId="0" applyNumberFormat="1" applyFont="1" applyBorder="1" applyAlignment="1">
      <alignment horizontal="center" vertical="top" wrapText="1"/>
    </xf>
    <xf numFmtId="0" fontId="35" fillId="0" borderId="0" xfId="0" applyFont="1" applyFill="1" applyBorder="1" applyAlignment="1">
      <alignment horizontal="center" vertical="center" wrapText="1"/>
    </xf>
    <xf numFmtId="0" fontId="46" fillId="0" borderId="0" xfId="0" applyFont="1" applyAlignment="1">
      <alignment horizontal="center" vertical="top" wrapText="1"/>
    </xf>
    <xf numFmtId="167" fontId="35" fillId="0" borderId="0" xfId="0" applyNumberFormat="1" applyFont="1" applyBorder="1" applyAlignment="1">
      <alignment horizontal="center" wrapText="1"/>
    </xf>
    <xf numFmtId="167" fontId="14" fillId="0" borderId="0" xfId="0" applyNumberFormat="1" applyFont="1" applyAlignment="1">
      <alignment horizontal="center"/>
    </xf>
    <xf numFmtId="16" fontId="35" fillId="0" borderId="0" xfId="0" applyNumberFormat="1" applyFont="1" applyFill="1" applyAlignment="1">
      <alignment horizontal="center" vertical="top"/>
    </xf>
    <xf numFmtId="0" fontId="57" fillId="0" borderId="0" xfId="0" applyFont="1" applyFill="1" applyAlignment="1">
      <alignment horizontal="justify" vertical="top" wrapText="1"/>
    </xf>
    <xf numFmtId="167" fontId="45" fillId="0" borderId="0" xfId="0" applyNumberFormat="1" applyFont="1" applyFill="1" applyAlignment="1">
      <alignment horizontal="center"/>
    </xf>
    <xf numFmtId="0" fontId="46" fillId="0" borderId="0" xfId="0" applyFont="1" applyAlignment="1">
      <alignment vertical="top" wrapText="1"/>
    </xf>
    <xf numFmtId="0" fontId="49" fillId="0" borderId="0" xfId="0" applyFont="1" applyFill="1" applyAlignment="1">
      <alignment horizontal="center" vertical="top" wrapText="1"/>
    </xf>
    <xf numFmtId="0" fontId="46" fillId="0" borderId="0" xfId="0" applyFont="1" applyFill="1" applyAlignment="1">
      <alignment horizontal="center" wrapText="1"/>
    </xf>
    <xf numFmtId="0" fontId="46" fillId="0" borderId="0" xfId="0" applyFont="1" applyFill="1" applyAlignment="1" applyProtection="1">
      <alignment horizontal="center" vertical="center"/>
    </xf>
    <xf numFmtId="167" fontId="46" fillId="0" borderId="0" xfId="0" applyNumberFormat="1" applyFont="1" applyAlignment="1">
      <alignment horizontal="center" wrapText="1"/>
    </xf>
    <xf numFmtId="0" fontId="35" fillId="0" borderId="0" xfId="0" applyFont="1" applyAlignment="1">
      <alignment wrapText="1"/>
    </xf>
    <xf numFmtId="0" fontId="34" fillId="0" borderId="35" xfId="0" applyFont="1" applyBorder="1" applyAlignment="1">
      <alignment horizontal="center" vertical="top" wrapText="1"/>
    </xf>
    <xf numFmtId="0" fontId="34" fillId="0" borderId="2" xfId="0" applyFont="1" applyBorder="1" applyAlignment="1">
      <alignment vertical="top" wrapText="1"/>
    </xf>
    <xf numFmtId="0" fontId="36" fillId="0" borderId="0" xfId="0" applyFont="1" applyBorder="1" applyAlignment="1">
      <alignment vertical="top" wrapText="1"/>
    </xf>
    <xf numFmtId="0" fontId="34" fillId="0" borderId="1" xfId="0" applyFont="1" applyBorder="1" applyAlignment="1">
      <alignment horizontal="right" vertical="top" wrapText="1"/>
    </xf>
    <xf numFmtId="7" fontId="39" fillId="0" borderId="1" xfId="0" applyNumberFormat="1" applyFont="1" applyFill="1" applyBorder="1" applyAlignment="1">
      <alignment horizontal="center" vertical="top" wrapText="1"/>
    </xf>
    <xf numFmtId="7" fontId="39" fillId="0" borderId="40" xfId="0" applyNumberFormat="1" applyFont="1" applyFill="1" applyBorder="1" applyAlignment="1">
      <alignment horizontal="center" vertical="top" wrapText="1"/>
    </xf>
    <xf numFmtId="0" fontId="34" fillId="5" borderId="4" xfId="0" applyFont="1" applyFill="1" applyBorder="1" applyAlignment="1">
      <alignment horizontal="center" vertical="top" wrapText="1"/>
    </xf>
    <xf numFmtId="167" fontId="36" fillId="5" borderId="6" xfId="0" applyNumberFormat="1" applyFont="1" applyFill="1" applyBorder="1" applyAlignment="1">
      <alignment horizontal="center" wrapText="1"/>
    </xf>
    <xf numFmtId="167" fontId="46" fillId="0" borderId="0" xfId="0" applyNumberFormat="1" applyFont="1" applyFill="1" applyBorder="1" applyAlignment="1">
      <alignment horizontal="center" wrapText="1"/>
    </xf>
    <xf numFmtId="167" fontId="46" fillId="0" borderId="0" xfId="0" applyNumberFormat="1" applyFont="1" applyFill="1" applyAlignment="1">
      <alignment horizontal="center" wrapText="1"/>
    </xf>
    <xf numFmtId="16" fontId="47" fillId="5" borderId="4" xfId="0" applyNumberFormat="1" applyFont="1" applyFill="1" applyBorder="1" applyAlignment="1">
      <alignment horizontal="center" vertical="top" wrapText="1"/>
    </xf>
    <xf numFmtId="0" fontId="47" fillId="5" borderId="5" xfId="0" applyFont="1" applyFill="1" applyBorder="1" applyAlignment="1">
      <alignment horizontal="justify" vertical="top" wrapText="1"/>
    </xf>
    <xf numFmtId="0" fontId="46" fillId="5" borderId="5" xfId="0" applyFont="1" applyFill="1" applyBorder="1" applyAlignment="1">
      <alignment horizontal="center" wrapText="1"/>
    </xf>
    <xf numFmtId="167" fontId="46" fillId="5" borderId="5" xfId="0" applyNumberFormat="1" applyFont="1" applyFill="1" applyBorder="1" applyAlignment="1">
      <alignment horizontal="center" wrapText="1"/>
    </xf>
    <xf numFmtId="167" fontId="46" fillId="5" borderId="6" xfId="0" applyNumberFormat="1" applyFont="1" applyFill="1" applyBorder="1" applyAlignment="1">
      <alignment horizontal="center" wrapText="1"/>
    </xf>
    <xf numFmtId="0" fontId="47" fillId="0" borderId="0" xfId="0" applyFont="1" applyAlignment="1">
      <alignment horizontal="center" vertical="top" wrapText="1"/>
    </xf>
    <xf numFmtId="0" fontId="49" fillId="0" borderId="0" xfId="0" applyFont="1" applyFill="1" applyBorder="1" applyAlignment="1">
      <alignment horizontal="center" vertical="top" wrapText="1"/>
    </xf>
    <xf numFmtId="0" fontId="56" fillId="0" borderId="0" xfId="0" applyFont="1" applyFill="1" applyBorder="1" applyAlignment="1">
      <alignment horizontal="justify" vertical="top" wrapText="1"/>
    </xf>
    <xf numFmtId="0" fontId="56" fillId="0" borderId="0" xfId="0" applyFont="1" applyFill="1" applyBorder="1" applyAlignment="1">
      <alignment horizontal="center" wrapText="1"/>
    </xf>
    <xf numFmtId="49" fontId="46" fillId="0" borderId="0" xfId="0" applyNumberFormat="1" applyFont="1" applyBorder="1" applyAlignment="1" applyProtection="1">
      <alignment horizontal="center" vertical="top" wrapText="1"/>
    </xf>
    <xf numFmtId="0" fontId="46" fillId="0" borderId="0" xfId="0" applyFont="1" applyBorder="1" applyAlignment="1" applyProtection="1">
      <alignment horizontal="center"/>
    </xf>
    <xf numFmtId="3" fontId="46" fillId="0" borderId="0" xfId="0" applyNumberFormat="1" applyFont="1" applyBorder="1" applyAlignment="1" applyProtection="1">
      <alignment horizontal="center"/>
    </xf>
    <xf numFmtId="4" fontId="46" fillId="0" borderId="0" xfId="0" applyNumberFormat="1" applyFont="1" applyBorder="1" applyAlignment="1">
      <alignment vertical="top"/>
    </xf>
    <xf numFmtId="49" fontId="46" fillId="0" borderId="0" xfId="0" applyNumberFormat="1" applyFont="1" applyFill="1" applyBorder="1" applyAlignment="1" applyProtection="1">
      <alignment horizontal="center" vertical="top" wrapText="1"/>
    </xf>
    <xf numFmtId="0" fontId="46" fillId="0" borderId="0" xfId="0" applyFont="1" applyFill="1" applyBorder="1" applyAlignment="1" applyProtection="1">
      <alignment horizontal="center"/>
    </xf>
    <xf numFmtId="3" fontId="46" fillId="0" borderId="0" xfId="0" applyNumberFormat="1" applyFont="1" applyFill="1" applyBorder="1" applyAlignment="1" applyProtection="1">
      <alignment horizontal="center"/>
    </xf>
    <xf numFmtId="44" fontId="46" fillId="0" borderId="0" xfId="0" applyNumberFormat="1" applyFont="1" applyFill="1" applyBorder="1" applyAlignment="1"/>
    <xf numFmtId="0" fontId="58" fillId="0" borderId="35" xfId="0" applyFont="1" applyFill="1" applyBorder="1" applyAlignment="1">
      <alignment horizontal="center" vertical="top" wrapText="1"/>
    </xf>
    <xf numFmtId="0" fontId="49" fillId="0" borderId="2" xfId="0" applyFont="1" applyFill="1" applyBorder="1" applyAlignment="1">
      <alignment horizontal="center" wrapText="1"/>
    </xf>
    <xf numFmtId="167" fontId="49" fillId="0" borderId="2" xfId="0" applyNumberFormat="1" applyFont="1" applyFill="1" applyBorder="1" applyAlignment="1">
      <alignment horizontal="center" vertical="top" wrapText="1"/>
    </xf>
    <xf numFmtId="167" fontId="49" fillId="0" borderId="36" xfId="0" applyNumberFormat="1" applyFont="1" applyFill="1" applyBorder="1" applyAlignment="1">
      <alignment horizontal="center" vertical="top" wrapText="1"/>
    </xf>
    <xf numFmtId="0" fontId="56" fillId="0" borderId="37" xfId="0" applyFont="1" applyFill="1" applyBorder="1" applyAlignment="1">
      <alignment horizontal="center" vertical="top" wrapText="1"/>
    </xf>
    <xf numFmtId="0" fontId="58" fillId="0" borderId="0" xfId="0" applyFont="1" applyFill="1" applyBorder="1" applyAlignment="1">
      <alignment horizontal="justify" vertical="top" wrapText="1"/>
    </xf>
    <xf numFmtId="0" fontId="49" fillId="0" borderId="0" xfId="0" applyFont="1" applyFill="1" applyBorder="1" applyAlignment="1">
      <alignment horizontal="center" wrapText="1"/>
    </xf>
    <xf numFmtId="167" fontId="49" fillId="0" borderId="0" xfId="0" applyNumberFormat="1" applyFont="1" applyFill="1" applyBorder="1" applyAlignment="1">
      <alignment horizontal="center" vertical="top" wrapText="1"/>
    </xf>
    <xf numFmtId="167" fontId="49" fillId="0" borderId="38" xfId="0" applyNumberFormat="1" applyFont="1" applyFill="1" applyBorder="1" applyAlignment="1">
      <alignment horizontal="center" vertical="top" wrapText="1"/>
    </xf>
    <xf numFmtId="0" fontId="56" fillId="0" borderId="39" xfId="0" applyFont="1" applyFill="1" applyBorder="1" applyAlignment="1">
      <alignment horizontal="center" vertical="top" wrapText="1"/>
    </xf>
    <xf numFmtId="0" fontId="59" fillId="0" borderId="1" xfId="0" applyFont="1" applyFill="1" applyBorder="1" applyAlignment="1">
      <alignment horizontal="justify" vertical="top" wrapText="1"/>
    </xf>
    <xf numFmtId="0" fontId="49" fillId="0" borderId="1" xfId="0" applyFont="1" applyFill="1" applyBorder="1" applyAlignment="1">
      <alignment horizontal="center" wrapText="1"/>
    </xf>
    <xf numFmtId="167" fontId="49" fillId="0" borderId="1" xfId="0" applyNumberFormat="1" applyFont="1" applyFill="1" applyBorder="1" applyAlignment="1">
      <alignment horizontal="center" vertical="top" wrapText="1"/>
    </xf>
    <xf numFmtId="167" fontId="49" fillId="0" borderId="40" xfId="0" applyNumberFormat="1" applyFont="1" applyFill="1" applyBorder="1" applyAlignment="1">
      <alignment horizontal="center" vertical="top" wrapText="1"/>
    </xf>
    <xf numFmtId="0" fontId="56" fillId="0" borderId="35" xfId="0" applyFont="1" applyFill="1" applyBorder="1" applyAlignment="1">
      <alignment horizontal="center" vertical="top" wrapText="1"/>
    </xf>
    <xf numFmtId="0" fontId="56" fillId="0" borderId="1" xfId="0" applyFont="1" applyFill="1" applyBorder="1" applyAlignment="1">
      <alignment horizontal="justify" vertical="top" wrapText="1"/>
    </xf>
    <xf numFmtId="0" fontId="56" fillId="0" borderId="1" xfId="0" applyFont="1" applyFill="1" applyBorder="1" applyAlignment="1">
      <alignment horizontal="center" wrapText="1"/>
    </xf>
    <xf numFmtId="0" fontId="56" fillId="0" borderId="1" xfId="0" applyFont="1" applyFill="1" applyBorder="1" applyAlignment="1">
      <alignment horizontal="left" vertical="top" wrapText="1"/>
    </xf>
    <xf numFmtId="0" fontId="56" fillId="0" borderId="40" xfId="0" applyFont="1" applyFill="1" applyBorder="1" applyAlignment="1">
      <alignment horizontal="left" vertical="top" wrapText="1"/>
    </xf>
    <xf numFmtId="0" fontId="35" fillId="0" borderId="35" xfId="0" applyFont="1" applyFill="1" applyBorder="1" applyAlignment="1">
      <alignment horizontal="center" vertical="top" wrapText="1"/>
    </xf>
    <xf numFmtId="0" fontId="46" fillId="0" borderId="46" xfId="0" applyFont="1" applyBorder="1" applyAlignment="1">
      <alignment horizontal="center" vertical="top"/>
    </xf>
    <xf numFmtId="0" fontId="49" fillId="0" borderId="0" xfId="0" applyFont="1" applyAlignment="1">
      <alignment vertical="top" wrapText="1"/>
    </xf>
    <xf numFmtId="0" fontId="49" fillId="0" borderId="0" xfId="0" applyFont="1" applyAlignment="1">
      <alignment horizontal="center" wrapText="1"/>
    </xf>
    <xf numFmtId="0" fontId="46" fillId="0" borderId="0" xfId="0" applyFont="1" applyAlignment="1">
      <alignment horizontal="center"/>
    </xf>
    <xf numFmtId="49" fontId="49" fillId="0" borderId="0" xfId="0" applyNumberFormat="1" applyFont="1" applyAlignment="1">
      <alignment vertical="top" wrapText="1"/>
    </xf>
    <xf numFmtId="0" fontId="46" fillId="0" borderId="0" xfId="0" applyFont="1" applyAlignment="1">
      <alignment horizontal="center" wrapText="1"/>
    </xf>
    <xf numFmtId="0" fontId="46" fillId="0" borderId="0" xfId="0" applyFont="1" applyBorder="1" applyAlignment="1">
      <alignment horizontal="center" vertical="top"/>
    </xf>
    <xf numFmtId="0" fontId="46" fillId="0" borderId="0" xfId="0" applyFont="1" applyBorder="1" applyAlignment="1">
      <alignment vertical="top" wrapText="1"/>
    </xf>
    <xf numFmtId="0" fontId="49" fillId="0" borderId="0" xfId="0" applyFont="1" applyFill="1" applyBorder="1" applyAlignment="1">
      <alignment horizontal="center"/>
    </xf>
    <xf numFmtId="0" fontId="46" fillId="0" borderId="0" xfId="0" applyFont="1" applyBorder="1" applyAlignment="1">
      <alignment vertical="top"/>
    </xf>
    <xf numFmtId="167" fontId="35" fillId="0" borderId="0" xfId="0" applyNumberFormat="1" applyFont="1" applyFill="1" applyBorder="1" applyAlignment="1">
      <alignment horizontal="center" wrapText="1"/>
    </xf>
    <xf numFmtId="0" fontId="46" fillId="0" borderId="0" xfId="0" applyFont="1" applyFill="1" applyAlignment="1">
      <alignment horizontal="justify" vertical="justify" wrapText="1"/>
    </xf>
    <xf numFmtId="9" fontId="35" fillId="0" borderId="0" xfId="0" applyNumberFormat="1" applyFont="1" applyFill="1" applyAlignment="1">
      <alignment horizontal="center" wrapText="1"/>
    </xf>
    <xf numFmtId="0" fontId="14" fillId="0" borderId="0" xfId="0" applyFont="1" applyFill="1" applyBorder="1" applyAlignment="1">
      <alignment horizontal="justify" vertical="top" wrapText="1"/>
    </xf>
    <xf numFmtId="0" fontId="49" fillId="0" borderId="0" xfId="0" applyFont="1" applyFill="1" applyBorder="1" applyAlignment="1">
      <alignment horizontal="justify" vertical="top" wrapText="1"/>
    </xf>
    <xf numFmtId="14" fontId="49" fillId="0" borderId="0" xfId="0" applyNumberFormat="1" applyFont="1" applyFill="1" applyBorder="1" applyAlignment="1">
      <alignment horizontal="center" vertical="top" wrapText="1"/>
    </xf>
    <xf numFmtId="0" fontId="49" fillId="0" borderId="0" xfId="0" quotePrefix="1" applyFont="1" applyFill="1" applyBorder="1" applyAlignment="1">
      <alignment horizontal="justify" vertical="top" wrapText="1"/>
    </xf>
    <xf numFmtId="43" fontId="49" fillId="0" borderId="0" xfId="0" applyNumberFormat="1" applyFont="1" applyFill="1" applyAlignment="1">
      <alignment horizontal="center" vertical="top" wrapText="1"/>
    </xf>
    <xf numFmtId="0" fontId="14" fillId="0" borderId="0" xfId="0" applyFont="1" applyFill="1" applyAlignment="1">
      <alignment horizontal="justify" vertical="justify" wrapText="1"/>
    </xf>
    <xf numFmtId="0" fontId="14" fillId="0" borderId="0" xfId="0" applyFont="1" applyFill="1" applyAlignment="1">
      <alignment horizontal="center" wrapText="1"/>
    </xf>
    <xf numFmtId="0" fontId="14" fillId="0" borderId="0" xfId="0" applyNumberFormat="1" applyFont="1" applyFill="1" applyAlignment="1">
      <alignment horizontal="center" wrapText="1"/>
    </xf>
    <xf numFmtId="43" fontId="14" fillId="0" borderId="0" xfId="0" applyNumberFormat="1" applyFont="1" applyFill="1" applyBorder="1" applyAlignment="1">
      <alignment horizontal="center" wrapText="1"/>
    </xf>
    <xf numFmtId="167" fontId="14" fillId="0" borderId="0" xfId="0" applyNumberFormat="1" applyFont="1" applyFill="1" applyBorder="1" applyAlignment="1">
      <alignment horizontal="center" wrapText="1"/>
    </xf>
    <xf numFmtId="0" fontId="14" fillId="0" borderId="0" xfId="0" applyFont="1" applyFill="1" applyAlignment="1">
      <alignment horizontal="justify" vertical="top" wrapText="1"/>
    </xf>
    <xf numFmtId="44" fontId="14" fillId="0" borderId="0" xfId="0" applyNumberFormat="1" applyFont="1"/>
    <xf numFmtId="0" fontId="14" fillId="0" borderId="0" xfId="13" applyFont="1" applyFill="1" applyAlignment="1">
      <alignment horizontal="justify" vertical="top" wrapText="1"/>
    </xf>
    <xf numFmtId="2" fontId="35" fillId="0" borderId="0" xfId="0" applyNumberFormat="1" applyFont="1" applyAlignment="1">
      <alignment horizontal="center" vertical="top" wrapText="1"/>
    </xf>
    <xf numFmtId="0" fontId="41" fillId="0" borderId="0" xfId="0" applyFont="1" applyAlignment="1">
      <alignment vertical="top" wrapText="1"/>
    </xf>
    <xf numFmtId="167" fontId="35" fillId="0" borderId="0" xfId="0" applyNumberFormat="1" applyFont="1" applyAlignment="1">
      <alignment horizontal="center" vertical="top"/>
    </xf>
    <xf numFmtId="0" fontId="46" fillId="0" borderId="0" xfId="0" applyFont="1" applyFill="1" applyAlignment="1">
      <alignment horizontal="left" vertical="justify" wrapText="1"/>
    </xf>
    <xf numFmtId="0" fontId="58" fillId="0" borderId="2" xfId="0" applyFont="1" applyFill="1" applyBorder="1" applyAlignment="1">
      <alignment horizontal="justify" vertical="top" wrapText="1"/>
    </xf>
    <xf numFmtId="0" fontId="58" fillId="0" borderId="2" xfId="0" applyFont="1" applyFill="1" applyBorder="1" applyAlignment="1">
      <alignment horizontal="center" wrapText="1"/>
    </xf>
    <xf numFmtId="0" fontId="56" fillId="0" borderId="0" xfId="0" applyFont="1" applyFill="1" applyBorder="1" applyAlignment="1">
      <alignment horizontal="center" vertical="top" wrapText="1"/>
    </xf>
    <xf numFmtId="0" fontId="56" fillId="0" borderId="0" xfId="0" applyFont="1" applyFill="1" applyBorder="1" applyAlignment="1">
      <alignment horizontal="left" vertical="top" wrapText="1"/>
    </xf>
    <xf numFmtId="0" fontId="14" fillId="0" borderId="0" xfId="0" applyFont="1" applyAlignment="1">
      <alignment horizontal="center" vertical="top"/>
    </xf>
    <xf numFmtId="0" fontId="14" fillId="0" borderId="0" xfId="14" applyFont="1" applyAlignment="1">
      <alignment horizontal="center"/>
    </xf>
    <xf numFmtId="0" fontId="14" fillId="0" borderId="0" xfId="14" applyFont="1" applyFill="1" applyAlignment="1">
      <alignment horizontal="center"/>
    </xf>
    <xf numFmtId="43" fontId="14" fillId="0" borderId="0" xfId="0" applyNumberFormat="1" applyFont="1" applyFill="1" applyAlignment="1"/>
    <xf numFmtId="0" fontId="59" fillId="0" borderId="0" xfId="0" applyFont="1" applyFill="1" applyBorder="1" applyAlignment="1">
      <alignment horizontal="justify" vertical="top" wrapText="1"/>
    </xf>
    <xf numFmtId="16" fontId="35" fillId="0" borderId="0" xfId="0" applyNumberFormat="1" applyFont="1" applyBorder="1" applyAlignment="1">
      <alignment horizontal="center" vertical="top" wrapText="1"/>
    </xf>
    <xf numFmtId="0" fontId="35" fillId="0" borderId="0" xfId="0" applyFont="1" applyBorder="1" applyAlignment="1">
      <alignment horizontal="center" wrapText="1"/>
    </xf>
    <xf numFmtId="0" fontId="45" fillId="0" borderId="0" xfId="0" applyFont="1" applyFill="1" applyAlignment="1">
      <alignment horizontal="center" wrapText="1"/>
    </xf>
    <xf numFmtId="0" fontId="49" fillId="0" borderId="0" xfId="0" applyFont="1" applyAlignment="1">
      <alignment horizontal="center" vertical="top" wrapText="1"/>
    </xf>
    <xf numFmtId="0" fontId="49" fillId="0" borderId="0" xfId="0" applyFont="1" applyFill="1" applyAlignment="1">
      <alignment horizontal="center" wrapText="1"/>
    </xf>
    <xf numFmtId="0" fontId="54" fillId="0" borderId="0" xfId="0" applyFont="1" applyAlignment="1">
      <alignment horizontal="justify" vertical="top" wrapText="1"/>
    </xf>
    <xf numFmtId="14" fontId="49" fillId="0" borderId="0" xfId="0" applyNumberFormat="1" applyFont="1" applyAlignment="1" applyProtection="1">
      <alignment horizontal="center" vertical="top" wrapText="1"/>
    </xf>
    <xf numFmtId="0" fontId="46" fillId="0" borderId="0" xfId="0" applyFont="1" applyFill="1" applyAlignment="1" applyProtection="1">
      <alignment horizontal="center"/>
    </xf>
    <xf numFmtId="0" fontId="46" fillId="0" borderId="0" xfId="0" applyFont="1" applyFill="1" applyAlignment="1" applyProtection="1">
      <alignment horizontal="center" wrapText="1"/>
    </xf>
    <xf numFmtId="0" fontId="46" fillId="0" borderId="0" xfId="0" applyFont="1" applyAlignment="1" applyProtection="1">
      <alignment horizontal="center" vertical="top"/>
      <protection locked="0"/>
    </xf>
    <xf numFmtId="0" fontId="46" fillId="0" borderId="0" xfId="0" applyFont="1" applyAlignment="1" applyProtection="1">
      <alignment horizontal="left" vertical="top"/>
      <protection locked="0"/>
    </xf>
    <xf numFmtId="0" fontId="58" fillId="0" borderId="0" xfId="0" applyFont="1" applyFill="1" applyBorder="1" applyAlignment="1">
      <alignment horizontal="right" vertical="top" wrapText="1"/>
    </xf>
    <xf numFmtId="0" fontId="45" fillId="5" borderId="5" xfId="0" applyFont="1" applyFill="1" applyBorder="1" applyAlignment="1">
      <alignment horizontal="center" vertical="top" wrapText="1"/>
    </xf>
    <xf numFmtId="167" fontId="35" fillId="5" borderId="5" xfId="0" applyNumberFormat="1" applyFont="1" applyFill="1" applyBorder="1" applyAlignment="1">
      <alignment horizontal="center" wrapText="1"/>
    </xf>
    <xf numFmtId="0" fontId="46" fillId="0" borderId="0" xfId="0" applyFont="1" applyAlignment="1" applyProtection="1">
      <alignment horizontal="center" vertical="top" wrapText="1"/>
      <protection locked="0"/>
    </xf>
    <xf numFmtId="0" fontId="12" fillId="0" borderId="0" xfId="0" applyFont="1" applyAlignment="1" applyProtection="1">
      <alignment horizontal="justify" vertical="top" wrapText="1"/>
      <protection locked="0"/>
    </xf>
    <xf numFmtId="0" fontId="46" fillId="0" borderId="0" xfId="0" applyFont="1" applyAlignment="1" applyProtection="1">
      <alignment horizontal="center" wrapText="1"/>
      <protection locked="0"/>
    </xf>
    <xf numFmtId="170" fontId="46" fillId="0" borderId="0" xfId="0" applyNumberFormat="1" applyFont="1" applyAlignment="1" applyProtection="1">
      <alignment horizontal="center"/>
      <protection locked="0"/>
    </xf>
    <xf numFmtId="0" fontId="46" fillId="0" borderId="0" xfId="0" applyFont="1" applyAlignment="1" applyProtection="1">
      <alignment horizontal="justify" vertical="top" wrapText="1"/>
      <protection locked="0"/>
    </xf>
    <xf numFmtId="170" fontId="46" fillId="0" borderId="0" xfId="0" applyNumberFormat="1" applyFont="1" applyAlignment="1" applyProtection="1">
      <alignment horizontal="center" vertical="top"/>
      <protection locked="0"/>
    </xf>
    <xf numFmtId="0" fontId="46" fillId="0" borderId="0" xfId="0" applyFont="1" applyFill="1" applyAlignment="1" applyProtection="1">
      <alignment horizontal="center" vertical="top" wrapText="1"/>
      <protection locked="0"/>
    </xf>
    <xf numFmtId="0" fontId="46" fillId="0" borderId="0" xfId="0" applyFont="1" applyFill="1" applyAlignment="1" applyProtection="1">
      <alignment horizontal="justify" vertical="top" wrapText="1"/>
      <protection locked="0"/>
    </xf>
    <xf numFmtId="170" fontId="46" fillId="0" borderId="0" xfId="0" applyNumberFormat="1" applyFont="1" applyFill="1" applyAlignment="1" applyProtection="1">
      <alignment horizontal="center" vertical="top"/>
      <protection locked="0"/>
    </xf>
    <xf numFmtId="167" fontId="46" fillId="0" borderId="0" xfId="0" applyNumberFormat="1" applyFont="1" applyFill="1" applyAlignment="1" applyProtection="1">
      <alignment horizontal="center" vertical="top"/>
      <protection locked="0"/>
    </xf>
    <xf numFmtId="0" fontId="58" fillId="0" borderId="2" xfId="0" applyFont="1" applyFill="1" applyBorder="1" applyAlignment="1">
      <alignment horizontal="center" vertical="top" wrapText="1"/>
    </xf>
    <xf numFmtId="0" fontId="49" fillId="0" borderId="2" xfId="0" applyFont="1" applyFill="1" applyBorder="1" applyAlignment="1">
      <alignment horizontal="center" vertical="top" wrapText="1"/>
    </xf>
    <xf numFmtId="164" fontId="59" fillId="0" borderId="0" xfId="0" applyNumberFormat="1" applyFont="1" applyFill="1" applyBorder="1" applyAlignment="1">
      <alignment horizontal="center" vertical="top" wrapText="1"/>
    </xf>
    <xf numFmtId="164" fontId="59" fillId="0" borderId="38" xfId="0"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6" fillId="0" borderId="0" xfId="0" applyFont="1" applyFill="1" applyAlignment="1">
      <alignment horizontal="center" vertical="top" wrapText="1"/>
    </xf>
    <xf numFmtId="0" fontId="65" fillId="0" borderId="0" xfId="0" applyFont="1" applyFill="1" applyAlignment="1">
      <alignment horizontal="justify" vertical="top" wrapText="1"/>
    </xf>
    <xf numFmtId="0" fontId="47" fillId="5" borderId="4" xfId="0" applyFont="1" applyFill="1" applyBorder="1" applyAlignment="1">
      <alignment horizontal="center" vertical="top" wrapText="1"/>
    </xf>
    <xf numFmtId="0" fontId="46" fillId="0" borderId="0" xfId="0" applyFont="1" applyFill="1" applyAlignment="1">
      <alignment horizontal="center" vertical="top"/>
    </xf>
    <xf numFmtId="167" fontId="46" fillId="0" borderId="0" xfId="0" applyNumberFormat="1" applyFont="1" applyFill="1" applyAlignment="1">
      <alignment horizontal="center"/>
    </xf>
    <xf numFmtId="14" fontId="49" fillId="0" borderId="0" xfId="0" applyNumberFormat="1" applyFont="1" applyAlignment="1">
      <alignment horizontal="center" vertical="top" wrapText="1"/>
    </xf>
    <xf numFmtId="0" fontId="46" fillId="0" borderId="0" xfId="0" applyFont="1" applyFill="1" applyAlignment="1">
      <alignment horizontal="center" vertical="top" wrapText="1"/>
    </xf>
    <xf numFmtId="167" fontId="46" fillId="0" borderId="0" xfId="0" applyNumberFormat="1" applyFont="1" applyFill="1" applyAlignment="1">
      <alignment horizontal="center" vertical="top" wrapText="1"/>
    </xf>
    <xf numFmtId="167" fontId="49" fillId="0" borderId="0" xfId="0" applyNumberFormat="1" applyFont="1" applyAlignment="1">
      <alignment horizontal="center" vertical="top" wrapText="1"/>
    </xf>
    <xf numFmtId="0" fontId="41" fillId="0" borderId="0" xfId="0" applyFont="1" applyAlignment="1">
      <alignment horizontal="justify" vertical="top" wrapText="1"/>
    </xf>
    <xf numFmtId="0" fontId="14" fillId="0" borderId="0" xfId="0" applyFont="1" applyAlignment="1" applyProtection="1">
      <alignment horizontal="center" vertical="top" wrapText="1"/>
      <protection locked="0"/>
    </xf>
    <xf numFmtId="0" fontId="14" fillId="0" borderId="0" xfId="0" applyFont="1" applyAlignment="1" applyProtection="1">
      <alignment horizontal="center" vertical="center" wrapText="1"/>
      <protection locked="0"/>
    </xf>
    <xf numFmtId="170" fontId="14" fillId="0" borderId="0" xfId="0" applyNumberFormat="1" applyFont="1" applyAlignment="1" applyProtection="1">
      <alignment horizontal="center" vertical="center"/>
      <protection locked="0"/>
    </xf>
    <xf numFmtId="171" fontId="14" fillId="0" borderId="0" xfId="0" applyNumberFormat="1" applyFont="1" applyAlignment="1" applyProtection="1">
      <alignment horizontal="right" vertical="top"/>
      <protection locked="0"/>
    </xf>
    <xf numFmtId="0" fontId="14" fillId="0" borderId="0" xfId="0" applyFont="1" applyAlignment="1" applyProtection="1">
      <alignment horizontal="right" vertical="top" wrapText="1"/>
      <protection locked="0"/>
    </xf>
    <xf numFmtId="170" fontId="46" fillId="0" borderId="0" xfId="0" applyNumberFormat="1" applyFont="1" applyAlignment="1" applyProtection="1">
      <alignment horizontal="center" vertical="center"/>
      <protection locked="0"/>
    </xf>
    <xf numFmtId="0" fontId="14" fillId="0" borderId="0" xfId="0" applyFont="1" applyAlignment="1" applyProtection="1">
      <alignment horizontal="justify" vertical="top" wrapText="1"/>
      <protection locked="0"/>
    </xf>
    <xf numFmtId="0" fontId="14" fillId="0" borderId="0" xfId="0" applyFont="1" applyAlignment="1" applyProtection="1">
      <alignment horizontal="center" wrapText="1"/>
      <protection locked="0"/>
    </xf>
    <xf numFmtId="170" fontId="14" fillId="0" borderId="0" xfId="0" applyNumberFormat="1" applyFont="1" applyAlignment="1" applyProtection="1">
      <alignment horizontal="center"/>
      <protection locked="0"/>
    </xf>
    <xf numFmtId="0" fontId="0" fillId="0" borderId="0" xfId="0" applyAlignment="1" applyProtection="1">
      <alignment horizontal="justify" vertical="top" wrapText="1"/>
      <protection locked="0"/>
    </xf>
    <xf numFmtId="0" fontId="46" fillId="0" borderId="1" xfId="0" applyFont="1" applyFill="1" applyBorder="1" applyAlignment="1">
      <alignment horizontal="center" vertical="top"/>
    </xf>
    <xf numFmtId="0" fontId="54" fillId="0" borderId="1" xfId="0" applyFont="1" applyFill="1" applyBorder="1" applyAlignment="1">
      <alignment horizontal="justify" vertical="top" wrapText="1"/>
    </xf>
    <xf numFmtId="167" fontId="54" fillId="0" borderId="1" xfId="0" applyNumberFormat="1" applyFont="1" applyFill="1" applyBorder="1" applyAlignment="1">
      <alignment horizontal="center"/>
    </xf>
    <xf numFmtId="167" fontId="59" fillId="0" borderId="0" xfId="0" applyNumberFormat="1" applyFont="1" applyFill="1" applyBorder="1" applyAlignment="1">
      <alignment horizontal="center" vertical="top" wrapText="1"/>
    </xf>
    <xf numFmtId="167" fontId="59" fillId="0" borderId="38" xfId="0" applyNumberFormat="1" applyFont="1" applyFill="1" applyBorder="1" applyAlignment="1">
      <alignment horizontal="center" vertical="top" wrapText="1"/>
    </xf>
    <xf numFmtId="0" fontId="35" fillId="5" borderId="5" xfId="0" applyFont="1" applyFill="1" applyBorder="1" applyAlignment="1">
      <alignment horizontal="center" vertical="top" wrapText="1"/>
    </xf>
    <xf numFmtId="0" fontId="34" fillId="0" borderId="0" xfId="0" applyFont="1" applyFill="1" applyBorder="1" applyAlignment="1">
      <alignment horizontal="center" vertical="top" wrapText="1"/>
    </xf>
    <xf numFmtId="0" fontId="34" fillId="0" borderId="0" xfId="0" applyFont="1" applyFill="1" applyBorder="1" applyAlignment="1">
      <alignment horizontal="justify" vertical="top" wrapText="1"/>
    </xf>
    <xf numFmtId="0" fontId="14" fillId="0" borderId="0" xfId="0" applyFont="1" applyFill="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66" fillId="0" borderId="0" xfId="0" applyFont="1" applyAlignment="1">
      <alignment horizontal="justify" vertical="top" wrapText="1"/>
    </xf>
    <xf numFmtId="0" fontId="46" fillId="0" borderId="1" xfId="0" applyFont="1" applyBorder="1" applyAlignment="1">
      <alignment horizontal="justify" vertical="top" wrapText="1"/>
    </xf>
    <xf numFmtId="0" fontId="34" fillId="0" borderId="35" xfId="0" applyFont="1" applyFill="1" applyBorder="1" applyAlignment="1">
      <alignment horizontal="center" vertical="top" wrapText="1"/>
    </xf>
    <xf numFmtId="0" fontId="49" fillId="0" borderId="2" xfId="0" applyFont="1" applyBorder="1" applyAlignment="1">
      <alignment horizontal="center" vertical="top" wrapText="1"/>
    </xf>
    <xf numFmtId="167" fontId="49" fillId="0" borderId="36" xfId="0" applyNumberFormat="1" applyFont="1" applyBorder="1" applyAlignment="1">
      <alignment horizontal="center" vertical="top" wrapText="1"/>
    </xf>
    <xf numFmtId="0" fontId="67" fillId="0" borderId="0" xfId="0" applyFont="1" applyBorder="1" applyAlignment="1">
      <alignment horizontal="justify" vertical="top" wrapText="1"/>
    </xf>
    <xf numFmtId="0" fontId="49" fillId="0" borderId="0" xfId="0" applyFont="1" applyBorder="1" applyAlignment="1">
      <alignment horizontal="center" vertical="top" wrapText="1"/>
    </xf>
    <xf numFmtId="167" fontId="49" fillId="0" borderId="38" xfId="0" applyNumberFormat="1" applyFont="1" applyBorder="1" applyAlignment="1">
      <alignment horizontal="center" vertical="top" wrapText="1"/>
    </xf>
    <xf numFmtId="0" fontId="59" fillId="0" borderId="0" xfId="0" applyFont="1" applyBorder="1" applyAlignment="1">
      <alignment horizontal="right" vertical="top" wrapText="1"/>
    </xf>
    <xf numFmtId="0" fontId="65" fillId="0" borderId="1" xfId="0" applyFont="1" applyBorder="1" applyAlignment="1">
      <alignment horizontal="justify" vertical="top" wrapText="1"/>
    </xf>
    <xf numFmtId="0" fontId="49" fillId="0" borderId="1" xfId="0" applyFont="1" applyBorder="1" applyAlignment="1">
      <alignment horizontal="center" vertical="top" wrapText="1"/>
    </xf>
    <xf numFmtId="167" fontId="49" fillId="0" borderId="40" xfId="0" applyNumberFormat="1" applyFont="1" applyBorder="1" applyAlignment="1">
      <alignment horizontal="center" vertical="top" wrapText="1"/>
    </xf>
    <xf numFmtId="0" fontId="46" fillId="5" borderId="5" xfId="0" applyFont="1" applyFill="1" applyBorder="1" applyAlignment="1">
      <alignment horizontal="center"/>
    </xf>
    <xf numFmtId="167" fontId="49" fillId="5" borderId="5" xfId="0" applyNumberFormat="1" applyFont="1" applyFill="1" applyBorder="1" applyAlignment="1">
      <alignment horizontal="center" vertical="top" wrapText="1"/>
    </xf>
    <xf numFmtId="171" fontId="35" fillId="5" borderId="5" xfId="0" applyNumberFormat="1" applyFont="1" applyFill="1" applyBorder="1" applyAlignment="1" applyProtection="1">
      <alignment horizontal="right" vertical="top"/>
      <protection locked="0"/>
    </xf>
    <xf numFmtId="0" fontId="53" fillId="0" borderId="0" xfId="0" applyFont="1" applyFill="1" applyAlignment="1">
      <alignment horizontal="justify" vertical="top" wrapText="1"/>
    </xf>
    <xf numFmtId="171" fontId="35" fillId="0" borderId="0" xfId="0" applyNumberFormat="1" applyFont="1" applyAlignment="1" applyProtection="1">
      <alignment horizontal="right" vertical="top"/>
      <protection locked="0"/>
    </xf>
    <xf numFmtId="0" fontId="45" fillId="0" borderId="0" xfId="0" applyFont="1" applyFill="1" applyBorder="1" applyAlignment="1">
      <alignment horizontal="justify" vertical="top" wrapText="1"/>
    </xf>
    <xf numFmtId="0" fontId="35" fillId="0" borderId="0" xfId="0" applyFont="1" applyAlignment="1" applyProtection="1">
      <alignment horizontal="center" vertical="top" wrapText="1"/>
      <protection locked="0"/>
    </xf>
    <xf numFmtId="0" fontId="14" fillId="0" borderId="0" xfId="0" applyFont="1" applyFill="1" applyAlignment="1" applyProtection="1">
      <alignment horizontal="center" vertical="top" wrapText="1"/>
      <protection locked="0"/>
    </xf>
    <xf numFmtId="0" fontId="14" fillId="0" borderId="0" xfId="0" applyFont="1" applyFill="1" applyAlignment="1" applyProtection="1">
      <alignment horizontal="left" vertical="top" wrapText="1"/>
      <protection locked="0"/>
    </xf>
    <xf numFmtId="0" fontId="14" fillId="0" borderId="0" xfId="0" applyFont="1" applyFill="1" applyAlignment="1" applyProtection="1">
      <alignment horizontal="justify" vertical="top" wrapText="1"/>
      <protection locked="0"/>
    </xf>
    <xf numFmtId="0" fontId="46" fillId="0" borderId="0" xfId="0" applyFont="1" applyFill="1" applyBorder="1" applyAlignment="1">
      <alignment horizontal="center" vertical="top"/>
    </xf>
    <xf numFmtId="0" fontId="46" fillId="0" borderId="0" xfId="0" applyFont="1" applyFill="1" applyBorder="1" applyAlignment="1">
      <alignment horizontal="justify" vertical="top" wrapText="1"/>
    </xf>
    <xf numFmtId="0" fontId="46" fillId="0" borderId="0" xfId="0" applyFont="1" applyFill="1" applyBorder="1" applyAlignment="1">
      <alignment horizontal="center"/>
    </xf>
    <xf numFmtId="0" fontId="46" fillId="0" borderId="0" xfId="0" applyFont="1" applyFill="1" applyBorder="1"/>
    <xf numFmtId="0" fontId="34" fillId="0" borderId="0" xfId="0" applyFont="1" applyBorder="1" applyAlignment="1">
      <alignment horizontal="center" vertical="top" wrapText="1"/>
    </xf>
    <xf numFmtId="0" fontId="39" fillId="0" borderId="0" xfId="0" applyFont="1" applyFill="1" applyBorder="1" applyAlignment="1">
      <alignment horizontal="justify" vertical="top" wrapText="1"/>
    </xf>
    <xf numFmtId="167" fontId="35" fillId="0" borderId="0" xfId="0" applyNumberFormat="1" applyFont="1" applyFill="1" applyBorder="1" applyAlignment="1">
      <alignment horizontal="center"/>
    </xf>
    <xf numFmtId="167" fontId="35" fillId="0" borderId="1" xfId="0" applyNumberFormat="1" applyFont="1" applyFill="1" applyBorder="1" applyAlignment="1">
      <alignment horizontal="center"/>
    </xf>
    <xf numFmtId="0" fontId="34" fillId="0" borderId="2" xfId="0" applyFont="1" applyFill="1" applyBorder="1" applyAlignment="1">
      <alignment horizontal="justify" vertical="top" wrapText="1"/>
    </xf>
    <xf numFmtId="167" fontId="35" fillId="0" borderId="2" xfId="0" applyNumberFormat="1" applyFont="1" applyFill="1" applyBorder="1" applyAlignment="1">
      <alignment horizontal="center"/>
    </xf>
    <xf numFmtId="167" fontId="35" fillId="0" borderId="36" xfId="0" applyNumberFormat="1" applyFont="1" applyFill="1" applyBorder="1" applyAlignment="1">
      <alignment horizontal="center"/>
    </xf>
    <xf numFmtId="0" fontId="34" fillId="0" borderId="37" xfId="0" applyFont="1" applyFill="1" applyBorder="1" applyAlignment="1">
      <alignment horizontal="center" vertical="top" wrapText="1"/>
    </xf>
    <xf numFmtId="167" fontId="35" fillId="0" borderId="38" xfId="0" applyNumberFormat="1" applyFont="1" applyFill="1" applyBorder="1" applyAlignment="1">
      <alignment horizontal="center"/>
    </xf>
    <xf numFmtId="167" fontId="39" fillId="0" borderId="0" xfId="0" applyNumberFormat="1" applyFont="1" applyFill="1" applyBorder="1" applyAlignment="1">
      <alignment horizontal="center"/>
    </xf>
    <xf numFmtId="167" fontId="39" fillId="0" borderId="38" xfId="0" applyNumberFormat="1" applyFont="1" applyFill="1" applyBorder="1" applyAlignment="1">
      <alignment horizontal="center"/>
    </xf>
    <xf numFmtId="0" fontId="35" fillId="0" borderId="39" xfId="0" applyFont="1" applyBorder="1" applyAlignment="1">
      <alignment horizontal="center" vertical="top"/>
    </xf>
    <xf numFmtId="0" fontId="35" fillId="0" borderId="1" xfId="0" applyFont="1" applyFill="1" applyBorder="1" applyAlignment="1">
      <alignment horizontal="justify" vertical="top" wrapText="1"/>
    </xf>
    <xf numFmtId="167" fontId="35" fillId="0" borderId="40" xfId="0" applyNumberFormat="1" applyFont="1" applyFill="1" applyBorder="1" applyAlignment="1">
      <alignment horizontal="center"/>
    </xf>
    <xf numFmtId="0" fontId="35" fillId="0" borderId="0" xfId="0" applyFont="1" applyFill="1" applyBorder="1" applyAlignment="1">
      <alignment horizontal="center" wrapText="1"/>
    </xf>
    <xf numFmtId="171" fontId="35" fillId="0" borderId="0" xfId="0" applyNumberFormat="1" applyFont="1" applyBorder="1" applyAlignment="1" applyProtection="1">
      <alignment horizontal="right" vertical="top"/>
      <protection locked="0"/>
    </xf>
    <xf numFmtId="0" fontId="46" fillId="0" borderId="0" xfId="0" applyFont="1" applyAlignment="1">
      <alignment horizontal="center" vertical="top"/>
    </xf>
    <xf numFmtId="0" fontId="35" fillId="0" borderId="0" xfId="0" applyFont="1" applyBorder="1" applyAlignment="1">
      <alignment horizontal="center" vertical="top"/>
    </xf>
    <xf numFmtId="0" fontId="35" fillId="0" borderId="0" xfId="0" applyFont="1" applyBorder="1" applyAlignment="1">
      <alignment horizontal="justify" vertical="top" wrapText="1"/>
    </xf>
    <xf numFmtId="0" fontId="35" fillId="0" borderId="0" xfId="0" applyFont="1" applyFill="1" applyBorder="1" applyAlignment="1">
      <alignment horizontal="center"/>
    </xf>
    <xf numFmtId="0" fontId="0" fillId="0" borderId="37" xfId="0" applyBorder="1"/>
    <xf numFmtId="0" fontId="0" fillId="0" borderId="38" xfId="0" applyBorder="1"/>
    <xf numFmtId="0" fontId="0" fillId="0" borderId="39" xfId="0" applyBorder="1"/>
    <xf numFmtId="0" fontId="0" fillId="0" borderId="40" xfId="0" applyBorder="1"/>
    <xf numFmtId="0" fontId="68" fillId="5" borderId="5" xfId="0" applyFont="1" applyFill="1" applyBorder="1" applyAlignment="1">
      <alignment horizontal="center" vertical="top" wrapText="1"/>
    </xf>
    <xf numFmtId="0" fontId="68" fillId="5" borderId="5" xfId="0" applyFont="1" applyFill="1" applyBorder="1" applyAlignment="1">
      <alignment horizontal="justify" vertical="top" wrapText="1"/>
    </xf>
    <xf numFmtId="0" fontId="67" fillId="5" borderId="5" xfId="0" applyFont="1" applyFill="1" applyBorder="1" applyAlignment="1">
      <alignment horizontal="center" wrapText="1"/>
    </xf>
    <xf numFmtId="43" fontId="67" fillId="5" borderId="5" xfId="0" applyNumberFormat="1" applyFont="1" applyFill="1" applyBorder="1" applyAlignment="1">
      <alignment horizontal="center" wrapText="1"/>
    </xf>
    <xf numFmtId="167" fontId="67" fillId="5" borderId="5" xfId="0" applyNumberFormat="1" applyFont="1" applyFill="1" applyBorder="1" applyAlignment="1">
      <alignment horizontal="center" wrapText="1"/>
    </xf>
    <xf numFmtId="167" fontId="35" fillId="0" borderId="0" xfId="0" applyNumberFormat="1" applyFont="1" applyFill="1" applyAlignment="1">
      <alignment wrapText="1"/>
    </xf>
    <xf numFmtId="16" fontId="47" fillId="5" borderId="5" xfId="0" applyNumberFormat="1" applyFont="1" applyFill="1" applyBorder="1" applyAlignment="1">
      <alignment horizontal="center" vertical="top" wrapText="1"/>
    </xf>
    <xf numFmtId="0" fontId="46" fillId="5" borderId="5" xfId="0" applyFont="1" applyFill="1" applyBorder="1" applyAlignment="1">
      <alignment horizontal="center" vertical="top" wrapText="1"/>
    </xf>
    <xf numFmtId="167" fontId="46" fillId="5" borderId="5" xfId="0" applyNumberFormat="1" applyFont="1" applyFill="1" applyBorder="1" applyAlignment="1">
      <alignment horizontal="center" vertical="top" wrapText="1"/>
    </xf>
    <xf numFmtId="2" fontId="14" fillId="0" borderId="0" xfId="0" applyNumberFormat="1" applyFont="1" applyFill="1" applyBorder="1" applyAlignment="1">
      <alignment horizontal="center" vertical="top"/>
    </xf>
    <xf numFmtId="0" fontId="14" fillId="0" borderId="0" xfId="15" applyFont="1" applyFill="1" applyBorder="1" applyAlignment="1">
      <alignment horizontal="justify" vertical="top" wrapText="1"/>
    </xf>
    <xf numFmtId="0" fontId="14" fillId="0" borderId="0" xfId="15" applyFont="1" applyFill="1" applyBorder="1" applyAlignment="1">
      <alignment horizontal="center" vertical="top"/>
    </xf>
    <xf numFmtId="167" fontId="14" fillId="0" borderId="0" xfId="0" applyNumberFormat="1" applyFont="1" applyFill="1" applyAlignment="1">
      <alignment horizontal="center"/>
    </xf>
    <xf numFmtId="0" fontId="14" fillId="0" borderId="0" xfId="0" applyFont="1" applyFill="1" applyAlignment="1">
      <alignment horizontal="center" vertical="top"/>
    </xf>
    <xf numFmtId="0" fontId="14" fillId="0" borderId="0" xfId="0" applyFont="1" applyFill="1"/>
    <xf numFmtId="7" fontId="14" fillId="0" borderId="0" xfId="0" applyNumberFormat="1" applyFont="1" applyFill="1" applyAlignment="1">
      <alignment horizontal="right"/>
    </xf>
    <xf numFmtId="0" fontId="14" fillId="0" borderId="0" xfId="0" applyFont="1" applyFill="1" applyAlignment="1">
      <alignment horizontal="center"/>
    </xf>
    <xf numFmtId="0" fontId="14" fillId="0" borderId="0" xfId="0" applyFont="1" applyFill="1" applyAlignment="1">
      <alignment horizontal="right" vertical="top"/>
    </xf>
    <xf numFmtId="0" fontId="14" fillId="0" borderId="0" xfId="0" applyFont="1" applyFill="1" applyAlignment="1">
      <alignment horizontal="center" vertical="center"/>
    </xf>
    <xf numFmtId="7" fontId="14" fillId="0" borderId="0" xfId="0" applyNumberFormat="1" applyFont="1" applyFill="1" applyAlignment="1">
      <alignment horizontal="center" vertical="center"/>
    </xf>
    <xf numFmtId="0" fontId="14" fillId="0" borderId="0" xfId="0" applyFont="1" applyFill="1" applyAlignment="1">
      <alignment horizontal="justify" vertical="top"/>
    </xf>
    <xf numFmtId="0" fontId="14" fillId="0" borderId="0" xfId="0" applyFont="1" applyAlignment="1">
      <alignment horizontal="center"/>
    </xf>
    <xf numFmtId="14" fontId="14" fillId="0" borderId="0" xfId="0" applyNumberFormat="1" applyFont="1" applyFill="1" applyAlignment="1">
      <alignment horizontal="center" vertical="top"/>
    </xf>
    <xf numFmtId="0" fontId="14" fillId="0" borderId="0" xfId="15" applyFont="1" applyBorder="1" applyAlignment="1">
      <alignment horizontal="center"/>
    </xf>
    <xf numFmtId="0" fontId="14" fillId="0" borderId="0" xfId="0" applyFont="1" applyFill="1" applyBorder="1" applyAlignment="1" applyProtection="1">
      <alignment horizontal="center" vertical="top" wrapText="1"/>
    </xf>
    <xf numFmtId="0" fontId="14" fillId="0" borderId="0" xfId="0" applyFont="1" applyFill="1" applyBorder="1" applyAlignment="1" applyProtection="1">
      <alignment horizontal="justify" vertical="top" wrapText="1"/>
    </xf>
    <xf numFmtId="0" fontId="14" fillId="0" borderId="0" xfId="0" applyFont="1" applyFill="1" applyBorder="1" applyAlignment="1" applyProtection="1">
      <alignment horizontal="center" wrapText="1"/>
    </xf>
    <xf numFmtId="4" fontId="14" fillId="0" borderId="0" xfId="0" applyNumberFormat="1" applyFont="1" applyFill="1" applyBorder="1" applyAlignment="1" applyProtection="1">
      <alignment horizontal="center"/>
    </xf>
    <xf numFmtId="167" fontId="14" fillId="0" borderId="0" xfId="0" applyNumberFormat="1" applyFont="1" applyFill="1" applyBorder="1" applyAlignment="1" applyProtection="1">
      <alignment horizontal="center"/>
      <protection locked="0"/>
    </xf>
    <xf numFmtId="167" fontId="14" fillId="0" borderId="0" xfId="0" applyNumberFormat="1" applyFont="1" applyFill="1" applyBorder="1" applyAlignment="1">
      <alignment horizontal="center"/>
    </xf>
    <xf numFmtId="0" fontId="12" fillId="0" borderId="0" xfId="0" applyFont="1" applyFill="1" applyAlignment="1">
      <alignment horizontal="justify" vertical="top" wrapText="1"/>
    </xf>
    <xf numFmtId="0" fontId="37" fillId="0" borderId="0" xfId="0" applyFont="1" applyFill="1" applyAlignment="1">
      <alignment horizontal="justify" vertical="top" wrapText="1"/>
    </xf>
    <xf numFmtId="0" fontId="14" fillId="0" borderId="0" xfId="0" applyFont="1" applyFill="1" applyBorder="1" applyAlignment="1">
      <alignment horizontal="center" vertical="center"/>
    </xf>
    <xf numFmtId="3" fontId="14" fillId="0" borderId="0" xfId="0" applyNumberFormat="1" applyFont="1" applyFill="1" applyBorder="1" applyAlignment="1" applyProtection="1">
      <alignment horizontal="center"/>
    </xf>
    <xf numFmtId="0" fontId="14" fillId="0" borderId="0" xfId="0" applyFont="1" applyFill="1" applyBorder="1" applyAlignment="1">
      <alignment horizontal="center"/>
    </xf>
    <xf numFmtId="167" fontId="14" fillId="0" borderId="0" xfId="0" applyNumberFormat="1" applyFont="1" applyFill="1" applyBorder="1" applyAlignment="1">
      <alignment horizontal="center" shrinkToFit="1"/>
    </xf>
    <xf numFmtId="0" fontId="12" fillId="0" borderId="0" xfId="0" applyFont="1" applyFill="1" applyBorder="1" applyAlignment="1">
      <alignment horizontal="justify" vertical="top" wrapText="1"/>
    </xf>
    <xf numFmtId="0" fontId="46" fillId="0" borderId="0" xfId="0" applyFont="1" applyFill="1" applyBorder="1" applyAlignment="1">
      <alignment horizontal="center" vertical="top" wrapText="1"/>
    </xf>
    <xf numFmtId="0" fontId="47" fillId="0" borderId="0" xfId="0" applyFont="1" applyFill="1" applyBorder="1" applyAlignment="1">
      <alignment horizontal="justify" vertical="top" wrapText="1"/>
    </xf>
    <xf numFmtId="0" fontId="47" fillId="0" borderId="0" xfId="0" applyFont="1" applyFill="1" applyBorder="1" applyAlignment="1">
      <alignment horizontal="center" vertical="top" wrapText="1"/>
    </xf>
    <xf numFmtId="167" fontId="47" fillId="0" borderId="0" xfId="0" applyNumberFormat="1" applyFont="1" applyFill="1" applyBorder="1" applyAlignment="1">
      <alignment horizontal="center" vertical="top" wrapText="1"/>
    </xf>
    <xf numFmtId="0" fontId="14" fillId="0" borderId="0" xfId="0" applyFont="1" applyAlignment="1" applyProtection="1">
      <alignment horizontal="center" vertical="top"/>
      <protection locked="0"/>
    </xf>
    <xf numFmtId="0" fontId="12" fillId="0" borderId="0" xfId="0" applyFont="1" applyFill="1" applyAlignment="1" applyProtection="1">
      <alignment horizontal="left" vertical="top" wrapText="1"/>
      <protection locked="0"/>
    </xf>
    <xf numFmtId="0" fontId="14" fillId="0" borderId="0" xfId="0" applyFont="1" applyFill="1" applyAlignment="1" applyProtection="1">
      <alignment horizontal="center"/>
      <protection locked="0"/>
    </xf>
    <xf numFmtId="170" fontId="14" fillId="0" borderId="0" xfId="0" applyNumberFormat="1" applyFont="1" applyFill="1" applyAlignment="1" applyProtection="1">
      <alignment horizontal="center"/>
      <protection locked="0"/>
    </xf>
    <xf numFmtId="0" fontId="14" fillId="0" borderId="0" xfId="0" applyFont="1" applyFill="1" applyAlignment="1" applyProtection="1">
      <alignment vertical="top"/>
      <protection locked="0"/>
    </xf>
    <xf numFmtId="0" fontId="14" fillId="0" borderId="0" xfId="0" applyFont="1" applyAlignment="1" applyProtection="1">
      <alignment horizontal="left" vertical="top"/>
      <protection locked="0"/>
    </xf>
    <xf numFmtId="49" fontId="14" fillId="0" borderId="0" xfId="0" applyNumberFormat="1" applyFont="1" applyAlignment="1" applyProtection="1">
      <alignment horizontal="center" vertical="top"/>
      <protection locked="0"/>
    </xf>
    <xf numFmtId="172" fontId="14" fillId="0" borderId="0" xfId="0" applyNumberFormat="1" applyFont="1" applyFill="1" applyAlignment="1" applyProtection="1">
      <alignment horizontal="center"/>
      <protection locked="0"/>
    </xf>
    <xf numFmtId="0" fontId="14" fillId="0" borderId="0" xfId="0" applyFont="1" applyAlignment="1" applyProtection="1">
      <alignment horizontal="left" vertical="top" wrapText="1"/>
      <protection locked="0"/>
    </xf>
    <xf numFmtId="0" fontId="0" fillId="0" borderId="0" xfId="0" applyAlignment="1" applyProtection="1">
      <alignment horizontal="left" vertical="top"/>
      <protection locked="0"/>
    </xf>
    <xf numFmtId="0" fontId="12" fillId="0" borderId="0" xfId="0" applyFont="1" applyAlignment="1" applyProtection="1">
      <alignment horizontal="left" vertical="top" wrapText="1"/>
      <protection locked="0"/>
    </xf>
    <xf numFmtId="0" fontId="14" fillId="0" borderId="0" xfId="0" applyFont="1" applyAlignment="1" applyProtection="1">
      <alignment horizontal="center"/>
      <protection locked="0"/>
    </xf>
    <xf numFmtId="0" fontId="37" fillId="0" borderId="0" xfId="0" applyFont="1" applyAlignment="1" applyProtection="1">
      <alignment horizontal="center" vertical="top" wrapText="1"/>
      <protection locked="0"/>
    </xf>
    <xf numFmtId="0" fontId="12" fillId="0" borderId="0" xfId="0" applyFont="1" applyFill="1" applyAlignment="1" applyProtection="1">
      <alignment horizontal="justify" vertical="top" wrapText="1"/>
      <protection locked="0"/>
    </xf>
    <xf numFmtId="0" fontId="37" fillId="0" borderId="0" xfId="0" applyFont="1" applyAlignment="1" applyProtection="1">
      <alignment horizontal="center" wrapText="1"/>
      <protection locked="0"/>
    </xf>
    <xf numFmtId="170" fontId="37" fillId="0" borderId="0" xfId="0" applyNumberFormat="1" applyFont="1" applyAlignment="1" applyProtection="1">
      <alignment horizontal="center"/>
      <protection locked="0"/>
    </xf>
    <xf numFmtId="0" fontId="37" fillId="0" borderId="0" xfId="0" applyFont="1" applyAlignment="1" applyProtection="1">
      <alignment horizontal="left" vertical="top"/>
      <protection locked="0"/>
    </xf>
    <xf numFmtId="167" fontId="14" fillId="0" borderId="0" xfId="0" applyNumberFormat="1" applyFont="1" applyFill="1" applyAlignment="1">
      <alignment horizontal="center" vertical="top" wrapText="1"/>
    </xf>
    <xf numFmtId="0" fontId="14" fillId="0" borderId="0" xfId="0" applyFont="1" applyAlignment="1">
      <alignment horizontal="center" vertical="top" wrapText="1"/>
    </xf>
    <xf numFmtId="0" fontId="58" fillId="0" borderId="35" xfId="0" applyFont="1" applyBorder="1" applyAlignment="1">
      <alignment horizontal="center" vertical="top" wrapText="1"/>
    </xf>
    <xf numFmtId="0" fontId="68" fillId="0" borderId="2" xfId="0" applyFont="1" applyBorder="1" applyAlignment="1">
      <alignment horizontal="justify" vertical="top" wrapText="1"/>
    </xf>
    <xf numFmtId="0" fontId="70" fillId="0" borderId="2" xfId="0" applyFont="1" applyBorder="1" applyAlignment="1">
      <alignment horizontal="center" vertical="top" wrapText="1"/>
    </xf>
    <xf numFmtId="0" fontId="70" fillId="0" borderId="2" xfId="0" applyFont="1" applyFill="1" applyBorder="1" applyAlignment="1">
      <alignment horizontal="center" vertical="top" wrapText="1"/>
    </xf>
    <xf numFmtId="43" fontId="70" fillId="0" borderId="2" xfId="0" applyNumberFormat="1" applyFont="1" applyFill="1" applyBorder="1" applyAlignment="1">
      <alignment horizontal="center" vertical="top" wrapText="1"/>
    </xf>
    <xf numFmtId="167" fontId="70" fillId="0" borderId="36" xfId="0" applyNumberFormat="1" applyFont="1" applyBorder="1" applyAlignment="1">
      <alignment horizontal="center" vertical="top" wrapText="1"/>
    </xf>
    <xf numFmtId="0" fontId="56" fillId="0" borderId="37" xfId="0" applyFont="1" applyBorder="1" applyAlignment="1">
      <alignment horizontal="center" vertical="top" wrapText="1"/>
    </xf>
    <xf numFmtId="43" fontId="49" fillId="0" borderId="0" xfId="0" applyNumberFormat="1" applyFont="1" applyFill="1" applyBorder="1" applyAlignment="1">
      <alignment horizontal="center" vertical="top" wrapText="1"/>
    </xf>
    <xf numFmtId="0" fontId="56" fillId="0" borderId="39" xfId="0" applyFont="1" applyBorder="1" applyAlignment="1">
      <alignment horizontal="center" vertical="top" wrapText="1"/>
    </xf>
    <xf numFmtId="43" fontId="49" fillId="0" borderId="1" xfId="0" applyNumberFormat="1" applyFont="1" applyFill="1" applyBorder="1" applyAlignment="1">
      <alignment horizontal="center" vertical="top" wrapText="1"/>
    </xf>
    <xf numFmtId="167" fontId="35" fillId="0" borderId="0" xfId="0" applyNumberFormat="1" applyFont="1" applyFill="1" applyAlignment="1"/>
    <xf numFmtId="0" fontId="68" fillId="5" borderId="4" xfId="0" applyFont="1" applyFill="1" applyBorder="1" applyAlignment="1" applyProtection="1">
      <alignment horizontal="center" vertical="top"/>
    </xf>
    <xf numFmtId="0" fontId="68" fillId="5" borderId="5" xfId="0" applyFont="1" applyFill="1" applyBorder="1" applyAlignment="1" applyProtection="1">
      <alignment horizontal="justify" vertical="top" wrapText="1"/>
    </xf>
    <xf numFmtId="0" fontId="47" fillId="5" borderId="5" xfId="0" applyFont="1" applyFill="1" applyBorder="1" applyAlignment="1" applyProtection="1">
      <alignment horizontal="center" vertical="center"/>
    </xf>
    <xf numFmtId="167" fontId="47" fillId="5" borderId="5" xfId="0" applyNumberFormat="1" applyFont="1" applyFill="1" applyBorder="1" applyAlignment="1" applyProtection="1"/>
    <xf numFmtId="167" fontId="47" fillId="5" borderId="6" xfId="0" applyNumberFormat="1" applyFont="1" applyFill="1" applyBorder="1" applyAlignment="1" applyProtection="1"/>
    <xf numFmtId="167" fontId="46" fillId="0" borderId="0" xfId="0" applyNumberFormat="1" applyFont="1" applyFill="1" applyAlignment="1" applyProtection="1"/>
    <xf numFmtId="0" fontId="45" fillId="0" borderId="0" xfId="0" applyFont="1" applyFill="1" applyAlignment="1">
      <alignment horizontal="center" vertical="top"/>
    </xf>
    <xf numFmtId="0" fontId="35" fillId="0" borderId="0" xfId="0" applyFont="1" applyBorder="1" applyAlignment="1">
      <alignment horizontal="center" vertical="center" wrapText="1"/>
    </xf>
    <xf numFmtId="0" fontId="35" fillId="0" borderId="0" xfId="0" applyFont="1" applyBorder="1" applyAlignment="1">
      <alignment horizontal="center"/>
    </xf>
    <xf numFmtId="0" fontId="45" fillId="0" borderId="0" xfId="0" applyFont="1" applyBorder="1" applyAlignment="1">
      <alignment horizontal="center" vertical="top" wrapText="1"/>
    </xf>
    <xf numFmtId="4" fontId="14" fillId="0" borderId="0" xfId="0" applyNumberFormat="1" applyFont="1" applyFill="1" applyBorder="1" applyAlignment="1">
      <alignment horizontal="center" shrinkToFit="1"/>
    </xf>
    <xf numFmtId="0" fontId="45" fillId="0" borderId="0" xfId="0" applyFont="1" applyFill="1" applyAlignment="1">
      <alignment horizontal="center"/>
    </xf>
    <xf numFmtId="167" fontId="14" fillId="0" borderId="0" xfId="0" applyNumberFormat="1" applyFont="1" applyFill="1" applyAlignment="1">
      <alignment horizontal="center" wrapText="1"/>
    </xf>
    <xf numFmtId="0" fontId="41" fillId="0" borderId="0" xfId="0" applyFont="1" applyFill="1" applyAlignment="1">
      <alignment horizontal="justify" vertical="top" wrapText="1"/>
    </xf>
    <xf numFmtId="167" fontId="45" fillId="0" borderId="0" xfId="0" applyNumberFormat="1" applyFont="1" applyFill="1" applyAlignment="1"/>
    <xf numFmtId="167" fontId="35" fillId="0" borderId="2" xfId="0" applyNumberFormat="1" applyFont="1" applyFill="1" applyBorder="1" applyAlignment="1">
      <alignment vertical="top" wrapText="1"/>
    </xf>
    <xf numFmtId="167" fontId="35" fillId="0" borderId="36" xfId="0" applyNumberFormat="1" applyFont="1" applyFill="1" applyBorder="1" applyAlignment="1">
      <alignment vertical="top" wrapText="1"/>
    </xf>
    <xf numFmtId="0" fontId="34" fillId="0" borderId="0" xfId="0" applyFont="1" applyFill="1" applyBorder="1" applyAlignment="1">
      <alignment horizontal="right" vertical="top" wrapText="1"/>
    </xf>
    <xf numFmtId="167" fontId="35" fillId="0" borderId="0" xfId="0" applyNumberFormat="1" applyFont="1" applyFill="1" applyBorder="1" applyAlignment="1">
      <alignment vertical="top" wrapText="1"/>
    </xf>
    <xf numFmtId="167" fontId="35" fillId="0" borderId="38" xfId="0" applyNumberFormat="1" applyFont="1" applyFill="1" applyBorder="1" applyAlignment="1">
      <alignment vertical="top" wrapText="1"/>
    </xf>
    <xf numFmtId="0" fontId="47" fillId="0" borderId="0" xfId="0" applyFont="1" applyAlignment="1">
      <alignment vertical="center" wrapText="1"/>
    </xf>
    <xf numFmtId="0" fontId="45" fillId="0" borderId="0" xfId="0" applyFont="1" applyAlignment="1"/>
    <xf numFmtId="49" fontId="46" fillId="0" borderId="0" xfId="0" applyNumberFormat="1" applyFont="1" applyFill="1" applyBorder="1" applyAlignment="1">
      <alignment vertical="center" wrapText="1"/>
    </xf>
    <xf numFmtId="0" fontId="46" fillId="0" borderId="0" xfId="0" applyFont="1" applyFill="1" applyBorder="1" applyAlignment="1">
      <alignment horizontal="center" wrapText="1"/>
    </xf>
    <xf numFmtId="43" fontId="14" fillId="0" borderId="0" xfId="12" applyFont="1" applyFill="1" applyBorder="1" applyAlignment="1">
      <alignment horizontal="center" vertical="center" wrapText="1"/>
    </xf>
    <xf numFmtId="4" fontId="46" fillId="0" borderId="0" xfId="0" applyNumberFormat="1" applyFont="1" applyFill="1" applyBorder="1" applyAlignment="1">
      <alignment horizontal="center" vertical="center" wrapText="1"/>
    </xf>
    <xf numFmtId="0" fontId="47" fillId="0" borderId="0" xfId="0" applyFont="1" applyFill="1" applyBorder="1" applyAlignment="1">
      <alignment horizontal="center" vertical="center"/>
    </xf>
    <xf numFmtId="49" fontId="46" fillId="0" borderId="0" xfId="0" applyNumberFormat="1" applyFont="1" applyFill="1" applyBorder="1" applyAlignment="1">
      <alignment horizontal="justify" vertical="center" wrapText="1"/>
    </xf>
    <xf numFmtId="0" fontId="47" fillId="0" borderId="0" xfId="0" applyFont="1" applyFill="1" applyBorder="1" applyAlignment="1">
      <alignment horizontal="center" vertical="top"/>
    </xf>
    <xf numFmtId="49" fontId="12" fillId="0" borderId="0" xfId="0" applyNumberFormat="1" applyFont="1" applyFill="1" applyBorder="1" applyAlignment="1">
      <alignment wrapText="1"/>
    </xf>
    <xf numFmtId="0" fontId="46" fillId="0" borderId="0" xfId="0" applyFont="1" applyFill="1" applyBorder="1" applyAlignment="1">
      <alignment horizontal="center" vertical="center" wrapText="1"/>
    </xf>
    <xf numFmtId="43" fontId="46" fillId="0" borderId="0" xfId="12" applyFont="1" applyFill="1" applyBorder="1" applyAlignment="1">
      <alignment horizontal="center" vertical="center"/>
    </xf>
    <xf numFmtId="4" fontId="46" fillId="0" borderId="0" xfId="0" applyNumberFormat="1" applyFont="1" applyFill="1" applyBorder="1" applyAlignment="1">
      <alignment horizontal="center" vertical="center"/>
    </xf>
    <xf numFmtId="49" fontId="14" fillId="0" borderId="0" xfId="0" applyNumberFormat="1" applyFont="1" applyFill="1" applyBorder="1" applyAlignment="1">
      <alignment wrapText="1"/>
    </xf>
    <xf numFmtId="167" fontId="46" fillId="0" borderId="0" xfId="0" applyNumberFormat="1" applyFont="1" applyAlignment="1">
      <alignment horizontal="center"/>
    </xf>
    <xf numFmtId="9" fontId="49" fillId="0" borderId="0" xfId="0" applyNumberFormat="1" applyFont="1" applyAlignment="1">
      <alignment horizontal="center" vertical="top" wrapText="1"/>
    </xf>
    <xf numFmtId="0" fontId="65" fillId="0" borderId="0" xfId="0" applyFont="1" applyBorder="1" applyAlignment="1">
      <alignment horizontal="justify" vertical="top" wrapText="1"/>
    </xf>
    <xf numFmtId="167" fontId="49" fillId="0" borderId="0" xfId="0" applyNumberFormat="1" applyFont="1" applyBorder="1" applyAlignment="1">
      <alignment horizontal="center" vertical="top" wrapText="1"/>
    </xf>
    <xf numFmtId="0" fontId="45" fillId="5" borderId="4" xfId="0" applyFont="1" applyFill="1" applyBorder="1" applyAlignment="1">
      <alignment horizontal="center" vertical="top"/>
    </xf>
    <xf numFmtId="167" fontId="45" fillId="5" borderId="5" xfId="0" applyNumberFormat="1" applyFont="1" applyFill="1" applyBorder="1" applyAlignment="1">
      <alignment horizontal="center"/>
    </xf>
    <xf numFmtId="167" fontId="45" fillId="5" borderId="6" xfId="0" applyNumberFormat="1" applyFont="1" applyFill="1" applyBorder="1" applyAlignment="1">
      <alignment horizontal="center"/>
    </xf>
    <xf numFmtId="0" fontId="35" fillId="0" borderId="0" xfId="0" applyFont="1" applyFill="1" applyBorder="1" applyAlignment="1">
      <alignment horizontal="center" vertical="top"/>
    </xf>
    <xf numFmtId="0" fontId="35" fillId="0" borderId="0" xfId="0" applyFont="1" applyFill="1" applyBorder="1" applyAlignment="1">
      <alignment horizontal="justify" vertical="top" wrapText="1"/>
    </xf>
    <xf numFmtId="0" fontId="46" fillId="0" borderId="0" xfId="0" applyFont="1" applyAlignment="1" applyProtection="1">
      <alignment horizontal="center" vertical="center"/>
      <protection locked="0"/>
    </xf>
    <xf numFmtId="0" fontId="14" fillId="0" borderId="0" xfId="15" applyFont="1" applyFill="1" applyAlignment="1">
      <alignment horizontal="justify" vertical="top"/>
    </xf>
    <xf numFmtId="0" fontId="46" fillId="0" borderId="0" xfId="0" applyFont="1" applyAlignment="1" applyProtection="1">
      <alignment horizontal="center"/>
      <protection locked="0"/>
    </xf>
    <xf numFmtId="4" fontId="46" fillId="0" borderId="0" xfId="0" applyNumberFormat="1" applyFont="1" applyAlignment="1" applyProtection="1">
      <alignment horizontal="center"/>
      <protection locked="0"/>
    </xf>
    <xf numFmtId="0" fontId="46" fillId="0" borderId="0" xfId="0" applyFont="1" applyProtection="1">
      <protection locked="0"/>
    </xf>
    <xf numFmtId="14" fontId="14" fillId="0" borderId="0" xfId="0" applyNumberFormat="1" applyFont="1" applyAlignment="1" applyProtection="1">
      <alignment horizontal="center" vertical="center"/>
      <protection locked="0"/>
    </xf>
    <xf numFmtId="0" fontId="35" fillId="0" borderId="0" xfId="0" applyFont="1" applyAlignment="1" applyProtection="1">
      <alignment horizontal="justify" vertical="top"/>
      <protection locked="0"/>
    </xf>
    <xf numFmtId="0" fontId="35" fillId="0" borderId="0" xfId="0" applyFont="1" applyAlignment="1" applyProtection="1">
      <alignment horizontal="center"/>
      <protection locked="0"/>
    </xf>
    <xf numFmtId="0" fontId="14" fillId="0" borderId="0" xfId="14" applyFont="1" applyAlignment="1">
      <alignment horizontal="center" vertical="top"/>
    </xf>
    <xf numFmtId="0" fontId="14" fillId="0" borderId="0" xfId="0" applyNumberFormat="1" applyFont="1" applyAlignment="1">
      <alignment horizontal="justify" vertical="top" wrapText="1"/>
    </xf>
    <xf numFmtId="4" fontId="14" fillId="0" borderId="0" xfId="14" applyNumberFormat="1" applyFont="1"/>
    <xf numFmtId="0" fontId="14" fillId="0" borderId="0" xfId="14" applyFont="1"/>
    <xf numFmtId="4" fontId="14" fillId="0" borderId="0" xfId="14" applyNumberFormat="1" applyFont="1" applyAlignment="1">
      <alignment horizontal="right"/>
    </xf>
    <xf numFmtId="0" fontId="14" fillId="0" borderId="0" xfId="0" applyFont="1" applyFill="1" applyBorder="1" applyAlignment="1">
      <alignment horizontal="left" wrapText="1"/>
    </xf>
    <xf numFmtId="0" fontId="14" fillId="0" borderId="0" xfId="0" applyFont="1"/>
    <xf numFmtId="14" fontId="14" fillId="0" borderId="0" xfId="0" applyNumberFormat="1" applyFont="1" applyAlignment="1" applyProtection="1">
      <alignment horizontal="center" vertical="top"/>
      <protection locked="0"/>
    </xf>
    <xf numFmtId="0" fontId="49" fillId="0" borderId="0" xfId="0" applyFont="1" applyBorder="1" applyAlignment="1">
      <alignment horizontal="justify" vertical="top" wrapText="1"/>
    </xf>
    <xf numFmtId="0" fontId="58" fillId="0" borderId="0" xfId="0" applyFont="1" applyBorder="1" applyAlignment="1">
      <alignment horizontal="right" vertical="top" wrapText="1"/>
    </xf>
    <xf numFmtId="16" fontId="35" fillId="0" borderId="0" xfId="0" applyNumberFormat="1" applyFont="1" applyFill="1" applyAlignment="1">
      <alignment horizontal="center" vertical="center"/>
    </xf>
    <xf numFmtId="0" fontId="36" fillId="0" borderId="0" xfId="0" applyFont="1" applyFill="1" applyAlignment="1">
      <alignment horizontal="justify" vertical="top" wrapText="1"/>
    </xf>
    <xf numFmtId="0" fontId="35" fillId="0" borderId="0" xfId="0" applyFont="1" applyAlignment="1">
      <alignment horizontal="center" vertical="center" wrapText="1"/>
    </xf>
    <xf numFmtId="0" fontId="35" fillId="0" borderId="0" xfId="0" applyFont="1" applyFill="1" applyAlignment="1">
      <alignment horizontal="justify" vertical="top"/>
    </xf>
    <xf numFmtId="0" fontId="35" fillId="0" borderId="0" xfId="0" applyFont="1" applyFill="1" applyAlignment="1">
      <alignment horizontal="center" vertical="center" wrapText="1"/>
    </xf>
    <xf numFmtId="167" fontId="35" fillId="0" borderId="0" xfId="0" applyNumberFormat="1" applyFont="1" applyFill="1" applyAlignment="1">
      <alignment horizontal="center" vertical="top"/>
    </xf>
    <xf numFmtId="16" fontId="35" fillId="0" borderId="0" xfId="0" applyNumberFormat="1" applyFont="1" applyBorder="1" applyAlignment="1">
      <alignment horizontal="center" vertical="center" wrapText="1"/>
    </xf>
    <xf numFmtId="0" fontId="35" fillId="0" borderId="0" xfId="0" applyFont="1" applyAlignment="1">
      <alignment vertical="top" wrapText="1"/>
    </xf>
    <xf numFmtId="0" fontId="34" fillId="0" borderId="0" xfId="0" applyFont="1" applyAlignment="1">
      <alignment vertical="top" wrapText="1"/>
    </xf>
    <xf numFmtId="4" fontId="34" fillId="0" borderId="0" xfId="0" applyNumberFormat="1" applyFont="1" applyAlignment="1">
      <alignment horizontal="center" vertical="top" wrapText="1"/>
    </xf>
    <xf numFmtId="0" fontId="1" fillId="0" borderId="0" xfId="0" applyFont="1" applyAlignment="1">
      <alignment vertical="center"/>
    </xf>
    <xf numFmtId="0" fontId="12" fillId="0" borderId="0" xfId="4" applyFont="1" applyBorder="1" applyAlignment="1">
      <alignment horizontal="right" vertical="top" wrapText="1"/>
    </xf>
    <xf numFmtId="0" fontId="12" fillId="0" borderId="0" xfId="4" applyFont="1" applyBorder="1" applyAlignment="1">
      <alignment horizontal="left" vertical="top" wrapText="1"/>
    </xf>
    <xf numFmtId="2" fontId="4" fillId="0" borderId="0" xfId="4" applyNumberFormat="1" applyFont="1" applyBorder="1" applyAlignment="1">
      <alignment wrapText="1"/>
    </xf>
    <xf numFmtId="0" fontId="12" fillId="0" borderId="0" xfId="4" applyFont="1" applyBorder="1" applyAlignment="1">
      <alignment wrapText="1"/>
    </xf>
    <xf numFmtId="0" fontId="72" fillId="0" borderId="0" xfId="0" applyFont="1" applyProtection="1">
      <protection locked="0"/>
    </xf>
    <xf numFmtId="0" fontId="72" fillId="6" borderId="0" xfId="0" applyFont="1" applyFill="1" applyProtection="1">
      <protection locked="0"/>
    </xf>
    <xf numFmtId="0" fontId="1" fillId="0" borderId="0" xfId="0" applyFont="1" applyProtection="1">
      <protection locked="0"/>
    </xf>
    <xf numFmtId="0" fontId="0" fillId="6" borderId="0" xfId="0" applyFill="1"/>
    <xf numFmtId="0" fontId="4" fillId="6" borderId="0" xfId="0" applyFont="1" applyFill="1" applyBorder="1" applyAlignment="1">
      <alignment horizontal="left" vertical="center"/>
    </xf>
    <xf numFmtId="0" fontId="0" fillId="0" borderId="0" xfId="0" applyFont="1" applyAlignment="1" applyProtection="1">
      <alignment vertical="center" wrapText="1"/>
      <protection locked="0"/>
    </xf>
    <xf numFmtId="0" fontId="26" fillId="6" borderId="0" xfId="0" applyFont="1" applyFill="1" applyBorder="1" applyAlignment="1">
      <alignment wrapText="1"/>
    </xf>
    <xf numFmtId="0" fontId="26" fillId="0" borderId="0" xfId="0" applyFont="1" applyFill="1" applyBorder="1" applyAlignment="1">
      <alignment wrapText="1"/>
    </xf>
    <xf numFmtId="0" fontId="26" fillId="6" borderId="0" xfId="0" applyFont="1" applyFill="1" applyAlignment="1">
      <alignment wrapText="1"/>
    </xf>
    <xf numFmtId="0" fontId="3" fillId="6" borderId="0" xfId="0" applyFont="1" applyFill="1"/>
    <xf numFmtId="0" fontId="4" fillId="0" borderId="0" xfId="0" applyFont="1" applyFill="1" applyBorder="1" applyAlignment="1">
      <alignment horizontal="left" vertical="center"/>
    </xf>
    <xf numFmtId="0" fontId="1" fillId="0" borderId="0" xfId="0" applyFont="1" applyAlignment="1">
      <alignment horizontal="center" vertical="center"/>
    </xf>
    <xf numFmtId="0" fontId="0" fillId="6" borderId="0" xfId="0" applyFill="1" applyAlignment="1">
      <alignment vertical="top"/>
    </xf>
    <xf numFmtId="0" fontId="26" fillId="6" borderId="0" xfId="0" applyFont="1" applyFill="1" applyAlignment="1">
      <alignment vertical="top" wrapText="1"/>
    </xf>
    <xf numFmtId="0" fontId="27" fillId="6" borderId="0" xfId="0" applyFont="1" applyFill="1" applyAlignment="1">
      <alignment wrapText="1"/>
    </xf>
    <xf numFmtId="0" fontId="31" fillId="0" borderId="0" xfId="0" applyFont="1" applyFill="1" applyAlignment="1">
      <alignment horizontal="left" vertical="center" wrapText="1"/>
    </xf>
    <xf numFmtId="0" fontId="49" fillId="0" borderId="0" xfId="0" applyFont="1" applyFill="1" applyAlignment="1">
      <alignment vertical="top" wrapText="1"/>
    </xf>
    <xf numFmtId="0" fontId="14" fillId="0" borderId="0" xfId="0" applyFont="1" applyFill="1" applyAlignment="1">
      <alignment vertical="top" wrapText="1"/>
    </xf>
    <xf numFmtId="0" fontId="46" fillId="0" borderId="0" xfId="0" applyFont="1" applyFill="1" applyAlignment="1">
      <alignment vertical="top" wrapText="1"/>
    </xf>
    <xf numFmtId="0" fontId="14" fillId="0" borderId="0" xfId="0" quotePrefix="1" applyFont="1" applyFill="1" applyAlignment="1">
      <alignment horizontal="justify" vertical="top" wrapText="1"/>
    </xf>
    <xf numFmtId="0" fontId="14" fillId="0" borderId="0" xfId="0" applyFont="1" applyFill="1" applyAlignment="1">
      <alignment horizontal="justify" vertical="center" wrapText="1"/>
    </xf>
    <xf numFmtId="49" fontId="46" fillId="0" borderId="0" xfId="0" applyNumberFormat="1" applyFont="1" applyFill="1" applyBorder="1" applyAlignment="1">
      <alignment horizontal="left" vertical="center" wrapText="1"/>
    </xf>
    <xf numFmtId="0" fontId="35" fillId="0" borderId="0" xfId="0" applyFont="1" applyFill="1" applyAlignment="1" applyProtection="1">
      <alignment horizontal="justify" vertical="top" wrapText="1"/>
      <protection locked="0"/>
    </xf>
    <xf numFmtId="0" fontId="8" fillId="0" borderId="0" xfId="9" applyFont="1" applyBorder="1" applyAlignment="1" applyProtection="1">
      <alignment horizontal="left" vertical="top" wrapText="1"/>
    </xf>
    <xf numFmtId="0" fontId="8" fillId="0" borderId="0" xfId="9" applyFont="1" applyBorder="1" applyAlignment="1" applyProtection="1">
      <alignment horizontal="center" vertical="center"/>
    </xf>
    <xf numFmtId="2" fontId="8" fillId="0" borderId="0" xfId="9" applyNumberFormat="1" applyBorder="1" applyAlignment="1" applyProtection="1">
      <alignment horizontal="center" vertical="center"/>
    </xf>
    <xf numFmtId="165" fontId="8" fillId="0" borderId="0" xfId="9" applyNumberFormat="1" applyBorder="1" applyAlignment="1" applyProtection="1">
      <alignment horizontal="center" vertical="center"/>
      <protection locked="0"/>
    </xf>
    <xf numFmtId="0" fontId="0" fillId="0" borderId="0" xfId="0" applyAlignment="1">
      <alignment horizontal="right" vertical="top"/>
    </xf>
    <xf numFmtId="0" fontId="1" fillId="0" borderId="0" xfId="0" applyFont="1" applyAlignment="1">
      <alignment horizontal="left" vertical="top" wrapText="1"/>
    </xf>
    <xf numFmtId="0" fontId="2" fillId="0" borderId="0" xfId="0" applyFont="1" applyAlignment="1">
      <alignment horizontal="center" vertical="center"/>
    </xf>
    <xf numFmtId="0" fontId="73" fillId="0" borderId="0" xfId="0" applyFont="1" applyAlignment="1">
      <alignment horizontal="center" vertical="center"/>
    </xf>
    <xf numFmtId="0" fontId="8" fillId="0" borderId="0" xfId="9" applyFont="1" applyBorder="1" applyAlignment="1" applyProtection="1">
      <alignment horizontal="center" vertical="center"/>
    </xf>
    <xf numFmtId="2" fontId="8" fillId="0" borderId="0" xfId="9" applyNumberFormat="1" applyBorder="1" applyAlignment="1" applyProtection="1">
      <alignment horizontal="center" vertical="center"/>
    </xf>
    <xf numFmtId="165" fontId="8" fillId="0" borderId="0" xfId="9" applyNumberFormat="1" applyBorder="1" applyAlignment="1" applyProtection="1">
      <alignment horizontal="center" vertical="center"/>
      <protection locked="0"/>
    </xf>
    <xf numFmtId="165" fontId="8" fillId="0" borderId="0" xfId="9" applyNumberFormat="1" applyBorder="1" applyAlignment="1" applyProtection="1">
      <alignment horizontal="center" vertical="center"/>
    </xf>
    <xf numFmtId="0" fontId="0" fillId="0" borderId="0" xfId="0" applyBorder="1" applyAlignment="1">
      <alignment horizontal="left" vertical="top" wrapText="1"/>
    </xf>
    <xf numFmtId="0" fontId="0" fillId="0" borderId="0" xfId="0" applyAlignment="1">
      <alignment horizontal="left" vertical="top" wrapText="1"/>
    </xf>
    <xf numFmtId="0" fontId="3" fillId="0" borderId="1" xfId="0" applyFont="1" applyBorder="1" applyAlignment="1">
      <alignment horizontal="center" wrapText="1"/>
    </xf>
    <xf numFmtId="0" fontId="8" fillId="0" borderId="3" xfId="9" applyFont="1" applyBorder="1" applyAlignment="1" applyProtection="1">
      <alignment horizontal="left" vertical="top" wrapText="1"/>
    </xf>
    <xf numFmtId="0" fontId="8" fillId="0" borderId="0" xfId="9" applyFont="1" applyBorder="1" applyAlignment="1" applyProtection="1">
      <alignment horizontal="left" vertical="top" wrapText="1"/>
    </xf>
    <xf numFmtId="0" fontId="4" fillId="0" borderId="0" xfId="0" applyFont="1" applyAlignment="1">
      <alignment horizontal="center" wrapText="1"/>
    </xf>
    <xf numFmtId="0" fontId="4" fillId="0" borderId="0" xfId="0" applyFont="1" applyBorder="1" applyAlignment="1">
      <alignment horizontal="left" vertical="center" wrapText="1"/>
    </xf>
    <xf numFmtId="0" fontId="0" fillId="0" borderId="0" xfId="0" applyFont="1" applyAlignment="1" applyProtection="1">
      <alignment horizontal="left" vertical="center" wrapText="1"/>
      <protection locked="0"/>
    </xf>
    <xf numFmtId="0" fontId="0" fillId="0" borderId="1" xfId="0" applyBorder="1" applyAlignment="1">
      <alignment horizontal="left" vertical="top" wrapText="1"/>
    </xf>
    <xf numFmtId="0" fontId="0" fillId="0" borderId="1" xfId="0" applyBorder="1" applyAlignment="1">
      <alignment horizontal="center" wrapText="1"/>
    </xf>
    <xf numFmtId="0" fontId="1" fillId="0" borderId="0" xfId="0" applyFont="1" applyAlignment="1">
      <alignment horizontal="center" vertical="center" wrapText="1"/>
    </xf>
    <xf numFmtId="49" fontId="0" fillId="0" borderId="0" xfId="0" applyNumberFormat="1" applyAlignment="1">
      <alignment horizontal="left" vertical="top" wrapText="1"/>
    </xf>
    <xf numFmtId="49" fontId="0" fillId="0" borderId="0" xfId="0" applyNumberFormat="1" applyBorder="1" applyAlignment="1">
      <alignment horizontal="left" vertical="top" wrapText="1"/>
    </xf>
    <xf numFmtId="49" fontId="0" fillId="0" borderId="1" xfId="0" applyNumberFormat="1" applyBorder="1" applyAlignment="1">
      <alignment horizontal="left" vertical="top" wrapText="1"/>
    </xf>
    <xf numFmtId="0" fontId="1" fillId="0" borderId="0" xfId="0" applyFont="1" applyAlignment="1">
      <alignment horizontal="center" wrapText="1"/>
    </xf>
    <xf numFmtId="0" fontId="0" fillId="0" borderId="0" xfId="0" applyFill="1" applyAlignment="1">
      <alignment horizontal="left" vertical="top" wrapText="1"/>
    </xf>
    <xf numFmtId="0" fontId="1" fillId="0" borderId="0" xfId="0" applyFont="1" applyAlignment="1">
      <alignment horizontal="center" vertical="center"/>
    </xf>
    <xf numFmtId="0" fontId="3" fillId="0" borderId="0" xfId="4" applyFont="1" applyAlignment="1">
      <alignment horizontal="center" wrapText="1"/>
    </xf>
    <xf numFmtId="0" fontId="12" fillId="0" borderId="0" xfId="4" applyFont="1" applyAlignment="1">
      <alignment horizontal="center" wrapText="1"/>
    </xf>
    <xf numFmtId="0" fontId="14" fillId="0" borderId="0" xfId="4" applyFont="1" applyAlignment="1">
      <alignment horizontal="center" wrapText="1"/>
    </xf>
    <xf numFmtId="0" fontId="14" fillId="0" borderId="0" xfId="4" applyFont="1" applyAlignment="1">
      <alignment wrapText="1"/>
    </xf>
    <xf numFmtId="0" fontId="14" fillId="0" borderId="0" xfId="4" applyFont="1" applyAlignment="1">
      <alignment horizontal="left" wrapText="1"/>
    </xf>
    <xf numFmtId="0" fontId="14" fillId="0" borderId="0" xfId="4" applyFont="1" applyAlignment="1">
      <alignment horizontal="left" vertical="top" wrapText="1"/>
    </xf>
    <xf numFmtId="0" fontId="26" fillId="0" borderId="0" xfId="4" applyFont="1" applyAlignment="1">
      <alignment horizontal="left" vertical="top" wrapText="1"/>
    </xf>
    <xf numFmtId="0" fontId="12" fillId="0" borderId="5" xfId="4" applyFont="1" applyBorder="1" applyAlignment="1">
      <alignment horizontal="left" vertical="top" wrapText="1"/>
    </xf>
    <xf numFmtId="0" fontId="16" fillId="0" borderId="0" xfId="4" applyFont="1" applyAlignment="1">
      <alignment horizontal="left" vertical="center"/>
    </xf>
    <xf numFmtId="0" fontId="12" fillId="0" borderId="0" xfId="4" applyFont="1" applyAlignment="1">
      <alignment horizontal="left" wrapText="1"/>
    </xf>
    <xf numFmtId="0" fontId="14" fillId="0" borderId="0" xfId="4" applyFont="1" applyAlignment="1">
      <alignment horizontal="left" vertical="center" wrapText="1"/>
    </xf>
    <xf numFmtId="0" fontId="12" fillId="0" borderId="0" xfId="4" applyFont="1" applyAlignment="1">
      <alignment horizontal="left" vertical="center" wrapText="1"/>
    </xf>
    <xf numFmtId="0" fontId="3" fillId="6" borderId="0" xfId="4" applyFont="1" applyFill="1" applyAlignment="1">
      <alignment horizontal="left" vertical="center"/>
    </xf>
    <xf numFmtId="0" fontId="12" fillId="0" borderId="0" xfId="4" applyFont="1" applyAlignment="1">
      <alignment horizontal="left" vertical="top" wrapText="1"/>
    </xf>
    <xf numFmtId="0" fontId="16" fillId="0" borderId="0" xfId="4" applyFont="1" applyAlignment="1">
      <alignment horizontal="left" vertical="center" wrapText="1"/>
    </xf>
    <xf numFmtId="0" fontId="4" fillId="0" borderId="4" xfId="0" applyFont="1" applyFill="1" applyBorder="1" applyAlignment="1" applyProtection="1">
      <alignment horizontal="left" vertical="top" wrapText="1"/>
    </xf>
    <xf numFmtId="0" fontId="4" fillId="0" borderId="5" xfId="0" applyFont="1" applyFill="1" applyBorder="1" applyAlignment="1" applyProtection="1">
      <alignment horizontal="left" vertical="top" wrapText="1"/>
    </xf>
    <xf numFmtId="166" fontId="26" fillId="0" borderId="28" xfId="0" applyNumberFormat="1" applyFont="1" applyFill="1" applyBorder="1" applyAlignment="1" applyProtection="1">
      <alignment horizontal="center" vertical="top" wrapText="1"/>
    </xf>
    <xf numFmtId="166" fontId="26" fillId="0" borderId="16" xfId="0" applyNumberFormat="1" applyFont="1" applyFill="1" applyBorder="1" applyAlignment="1" applyProtection="1">
      <alignment horizontal="center" vertical="top" wrapText="1"/>
    </xf>
    <xf numFmtId="166" fontId="22" fillId="2" borderId="10" xfId="0" applyNumberFormat="1" applyFont="1" applyFill="1" applyBorder="1" applyAlignment="1" applyProtection="1">
      <alignment horizontal="center" vertical="center" wrapText="1"/>
    </xf>
    <xf numFmtId="166" fontId="22" fillId="2" borderId="11" xfId="0" applyNumberFormat="1" applyFont="1" applyFill="1" applyBorder="1" applyAlignment="1" applyProtection="1">
      <alignment horizontal="center" vertical="center" wrapText="1"/>
    </xf>
    <xf numFmtId="166" fontId="22" fillId="2" borderId="12" xfId="0" applyNumberFormat="1" applyFont="1" applyFill="1" applyBorder="1" applyAlignment="1" applyProtection="1">
      <alignment horizontal="center" vertical="center" wrapText="1"/>
    </xf>
    <xf numFmtId="0" fontId="4" fillId="2" borderId="24" xfId="0" applyFont="1" applyFill="1" applyBorder="1" applyAlignment="1" applyProtection="1">
      <alignment horizontal="center" vertical="top" wrapText="1"/>
    </xf>
    <xf numFmtId="0" fontId="4" fillId="2" borderId="25" xfId="0" applyFont="1" applyFill="1" applyBorder="1" applyAlignment="1" applyProtection="1">
      <alignment horizontal="center" vertical="top" wrapText="1"/>
    </xf>
    <xf numFmtId="0" fontId="4" fillId="2" borderId="26" xfId="0" applyFont="1" applyFill="1" applyBorder="1" applyAlignment="1" applyProtection="1">
      <alignment horizontal="center" vertical="top" wrapText="1"/>
    </xf>
    <xf numFmtId="0" fontId="22" fillId="0" borderId="31" xfId="0" applyFont="1" applyFill="1" applyBorder="1" applyAlignment="1" applyProtection="1">
      <alignment horizontal="right" vertical="center" wrapText="1"/>
    </xf>
    <xf numFmtId="0" fontId="22" fillId="0" borderId="32" xfId="0" applyFont="1" applyFill="1" applyBorder="1" applyAlignment="1" applyProtection="1">
      <alignment horizontal="right" vertical="center" wrapText="1"/>
    </xf>
    <xf numFmtId="0" fontId="22" fillId="0" borderId="33" xfId="0" applyFont="1" applyFill="1" applyBorder="1" applyAlignment="1" applyProtection="1">
      <alignment horizontal="right" vertical="center" wrapText="1"/>
    </xf>
    <xf numFmtId="0" fontId="22" fillId="0" borderId="0" xfId="0" applyFont="1" applyBorder="1" applyAlignment="1" applyProtection="1">
      <alignment horizontal="left"/>
    </xf>
    <xf numFmtId="0" fontId="22" fillId="0" borderId="0" xfId="0" applyNumberFormat="1" applyFont="1" applyBorder="1" applyAlignment="1" applyProtection="1">
      <alignment horizontal="left" vertical="center"/>
    </xf>
    <xf numFmtId="0" fontId="26" fillId="6" borderId="22" xfId="0" applyFont="1" applyFill="1" applyBorder="1" applyAlignment="1">
      <alignment horizontal="left" vertical="center"/>
    </xf>
    <xf numFmtId="0" fontId="34" fillId="0" borderId="0" xfId="0" applyFont="1" applyAlignment="1">
      <alignment horizontal="justify" vertical="top" wrapText="1"/>
    </xf>
    <xf numFmtId="4" fontId="34" fillId="0" borderId="0" xfId="0" applyNumberFormat="1" applyFont="1" applyAlignment="1">
      <alignment horizontal="center" vertical="top" wrapText="1"/>
    </xf>
    <xf numFmtId="0" fontId="38" fillId="0" borderId="0" xfId="0" applyFont="1" applyBorder="1" applyAlignment="1">
      <alignment horizontal="right"/>
    </xf>
    <xf numFmtId="164" fontId="71" fillId="0" borderId="0" xfId="0" applyNumberFormat="1" applyFont="1" applyFill="1" applyBorder="1" applyAlignment="1">
      <alignment horizontal="center"/>
    </xf>
    <xf numFmtId="164" fontId="71" fillId="0" borderId="38" xfId="0" applyNumberFormat="1" applyFont="1" applyFill="1" applyBorder="1" applyAlignment="1">
      <alignment horizontal="center"/>
    </xf>
    <xf numFmtId="0" fontId="34" fillId="0" borderId="0" xfId="0" applyFont="1" applyAlignment="1">
      <alignment horizontal="left" vertical="top" wrapText="1"/>
    </xf>
    <xf numFmtId="0" fontId="34" fillId="0" borderId="0" xfId="0" applyFont="1" applyAlignment="1">
      <alignment horizontal="justify" vertical="top"/>
    </xf>
    <xf numFmtId="0" fontId="34" fillId="0" borderId="0" xfId="0" applyFont="1" applyFill="1" applyAlignment="1">
      <alignment horizontal="left" vertical="top" wrapText="1"/>
    </xf>
    <xf numFmtId="4" fontId="34" fillId="0" borderId="0" xfId="0" applyNumberFormat="1" applyFont="1" applyFill="1" applyAlignment="1">
      <alignment horizontal="center" vertical="top" wrapText="1"/>
    </xf>
    <xf numFmtId="0" fontId="45" fillId="0" borderId="0" xfId="0" applyFont="1" applyFill="1" applyBorder="1" applyAlignment="1">
      <alignment horizontal="left" vertical="top" wrapText="1"/>
    </xf>
    <xf numFmtId="0" fontId="45" fillId="0" borderId="0" xfId="0" applyFont="1" applyAlignment="1">
      <alignment horizontal="left" vertical="top" wrapText="1"/>
    </xf>
    <xf numFmtId="0" fontId="45" fillId="0" borderId="0" xfId="0" applyFont="1" applyAlignment="1">
      <alignment horizontal="left" wrapText="1"/>
    </xf>
    <xf numFmtId="167" fontId="59" fillId="0" borderId="0" xfId="0" applyNumberFormat="1" applyFont="1" applyBorder="1" applyAlignment="1">
      <alignment horizontal="center" vertical="top" wrapText="1"/>
    </xf>
    <xf numFmtId="167" fontId="59" fillId="0" borderId="38" xfId="0" applyNumberFormat="1" applyFont="1" applyBorder="1" applyAlignment="1">
      <alignment horizontal="center" vertical="top" wrapText="1"/>
    </xf>
    <xf numFmtId="0" fontId="33" fillId="0" borderId="0" xfId="0" applyFont="1" applyAlignment="1">
      <alignment horizontal="center"/>
    </xf>
    <xf numFmtId="167" fontId="39" fillId="0" borderId="0" xfId="0" applyNumberFormat="1" applyFont="1" applyFill="1" applyBorder="1" applyAlignment="1">
      <alignment horizontal="center" vertical="top" wrapText="1"/>
    </xf>
    <xf numFmtId="167" fontId="39" fillId="0" borderId="38" xfId="0" applyNumberFormat="1" applyFont="1" applyFill="1" applyBorder="1" applyAlignment="1">
      <alignment horizontal="center" vertical="top" wrapText="1"/>
    </xf>
    <xf numFmtId="0" fontId="56" fillId="0" borderId="0" xfId="0" applyFont="1" applyFill="1" applyBorder="1" applyAlignment="1">
      <alignment horizontal="left" vertical="top" wrapText="1"/>
    </xf>
    <xf numFmtId="0" fontId="47" fillId="0" borderId="0" xfId="0" applyFont="1" applyAlignment="1">
      <alignment horizontal="justify" vertical="center" wrapText="1"/>
    </xf>
    <xf numFmtId="164" fontId="59" fillId="0" borderId="0" xfId="0" applyNumberFormat="1" applyFont="1" applyBorder="1" applyAlignment="1">
      <alignment horizontal="center" vertical="top" wrapText="1"/>
    </xf>
    <xf numFmtId="164" fontId="59" fillId="0" borderId="38" xfId="0" applyNumberFormat="1" applyFont="1" applyBorder="1" applyAlignment="1">
      <alignment horizontal="center" vertical="top" wrapText="1"/>
    </xf>
    <xf numFmtId="0" fontId="45" fillId="0" borderId="0" xfId="0" applyFont="1" applyAlignment="1">
      <alignment horizontal="left"/>
    </xf>
    <xf numFmtId="164" fontId="59" fillId="0" borderId="0" xfId="0" applyNumberFormat="1" applyFont="1" applyFill="1" applyBorder="1" applyAlignment="1">
      <alignment horizontal="center" vertical="top" wrapText="1"/>
    </xf>
    <xf numFmtId="164" fontId="59" fillId="0" borderId="38" xfId="0" applyNumberFormat="1" applyFont="1" applyFill="1" applyBorder="1" applyAlignment="1">
      <alignment horizontal="center" vertical="top" wrapText="1"/>
    </xf>
    <xf numFmtId="164" fontId="39" fillId="0" borderId="0" xfId="0" applyNumberFormat="1" applyFont="1" applyBorder="1" applyAlignment="1">
      <alignment horizontal="center" vertical="top" wrapText="1"/>
    </xf>
    <xf numFmtId="164" fontId="39" fillId="0" borderId="38" xfId="0" applyNumberFormat="1" applyFont="1" applyBorder="1" applyAlignment="1">
      <alignment horizontal="center" vertical="top" wrapText="1"/>
    </xf>
    <xf numFmtId="7" fontId="39" fillId="0" borderId="0" xfId="0" applyNumberFormat="1" applyFont="1" applyFill="1" applyBorder="1" applyAlignment="1">
      <alignment horizontal="center" vertical="top" wrapText="1"/>
    </xf>
    <xf numFmtId="7" fontId="39" fillId="0" borderId="38" xfId="0" applyNumberFormat="1" applyFont="1" applyFill="1" applyBorder="1" applyAlignment="1">
      <alignment horizontal="center" vertical="top" wrapText="1"/>
    </xf>
    <xf numFmtId="0" fontId="58" fillId="0" borderId="2" xfId="0" applyFont="1" applyFill="1" applyBorder="1" applyAlignment="1">
      <alignment horizontal="left" vertical="top" wrapText="1"/>
    </xf>
    <xf numFmtId="0" fontId="56" fillId="0" borderId="2" xfId="0" applyFont="1" applyFill="1" applyBorder="1" applyAlignment="1">
      <alignment horizontal="left" vertical="top" wrapText="1"/>
    </xf>
    <xf numFmtId="0" fontId="56" fillId="0" borderId="36" xfId="0" applyFont="1" applyFill="1" applyBorder="1" applyAlignment="1">
      <alignment horizontal="left" vertical="top" wrapText="1"/>
    </xf>
    <xf numFmtId="0" fontId="0" fillId="6" borderId="0" xfId="0" applyFill="1" applyAlignment="1">
      <alignment horizontal="left" vertical="center"/>
    </xf>
    <xf numFmtId="0" fontId="0" fillId="6" borderId="0" xfId="0" applyFill="1" applyAlignment="1">
      <alignment horizontal="left" vertical="top"/>
    </xf>
    <xf numFmtId="0" fontId="0" fillId="6" borderId="0" xfId="0" applyFill="1" applyAlignment="1">
      <alignment horizontal="left" vertical="center" wrapText="1"/>
    </xf>
    <xf numFmtId="0" fontId="36" fillId="0" borderId="0" xfId="0" applyFont="1" applyAlignment="1">
      <alignment horizontal="center" vertical="top" wrapText="1"/>
    </xf>
    <xf numFmtId="0" fontId="31" fillId="0" borderId="0" xfId="0" applyFont="1" applyAlignment="1">
      <alignment horizontal="center"/>
    </xf>
    <xf numFmtId="49" fontId="34" fillId="0" borderId="0" xfId="0" applyNumberFormat="1" applyFont="1" applyFill="1" applyAlignment="1">
      <alignment horizontal="left" vertical="top" wrapText="1"/>
    </xf>
    <xf numFmtId="0" fontId="3" fillId="0" borderId="0" xfId="0" applyFont="1" applyBorder="1" applyAlignment="1" applyProtection="1">
      <alignment horizontal="left" vertical="top" wrapText="1"/>
    </xf>
    <xf numFmtId="0" fontId="3" fillId="0" borderId="0" xfId="0" applyFont="1" applyAlignment="1" applyProtection="1">
      <alignment horizontal="center" vertical="center"/>
    </xf>
    <xf numFmtId="2" fontId="3" fillId="0" borderId="0" xfId="0" applyNumberFormat="1" applyFont="1" applyBorder="1" applyAlignment="1" applyProtection="1">
      <alignment horizontal="center" vertical="center"/>
    </xf>
    <xf numFmtId="0" fontId="3" fillId="0" borderId="0" xfId="0" applyFont="1" applyAlignment="1" applyProtection="1">
      <alignment horizontal="center" wrapText="1"/>
    </xf>
    <xf numFmtId="0" fontId="3" fillId="0" borderId="0" xfId="0" applyFont="1" applyBorder="1" applyAlignment="1" applyProtection="1">
      <alignment horizontal="left" vertical="top" wrapText="1"/>
    </xf>
    <xf numFmtId="0" fontId="3" fillId="0" borderId="1" xfId="0" applyFont="1" applyBorder="1" applyAlignment="1" applyProtection="1">
      <alignment horizontal="center" vertical="center"/>
    </xf>
    <xf numFmtId="2" fontId="3" fillId="0" borderId="1" xfId="0" applyNumberFormat="1" applyFont="1" applyBorder="1" applyAlignment="1" applyProtection="1">
      <alignment horizontal="center" vertical="center"/>
    </xf>
    <xf numFmtId="0" fontId="3" fillId="0" borderId="0" xfId="0" applyFont="1" applyProtection="1"/>
    <xf numFmtId="0" fontId="3" fillId="0" borderId="0" xfId="0" applyFont="1" applyAlignment="1" applyProtection="1">
      <alignment horizontal="left"/>
    </xf>
    <xf numFmtId="0" fontId="4" fillId="0" borderId="0" xfId="0" applyFont="1" applyAlignment="1" applyProtection="1">
      <alignment horizontal="right"/>
    </xf>
    <xf numFmtId="0" fontId="3" fillId="0" borderId="1" xfId="0" applyFont="1" applyBorder="1" applyAlignment="1" applyProtection="1">
      <alignment horizontal="center" wrapText="1"/>
    </xf>
    <xf numFmtId="0" fontId="3" fillId="0" borderId="0" xfId="0" applyFont="1" applyBorder="1" applyAlignment="1" applyProtection="1">
      <alignment horizontal="center" vertical="center"/>
    </xf>
    <xf numFmtId="0" fontId="3" fillId="0" borderId="1" xfId="0" applyFont="1" applyBorder="1" applyAlignment="1" applyProtection="1">
      <alignment horizontal="left" vertical="top" wrapText="1"/>
    </xf>
    <xf numFmtId="0" fontId="3" fillId="0" borderId="0" xfId="0" applyFont="1" applyFill="1" applyBorder="1" applyAlignment="1" applyProtection="1">
      <alignment horizontal="left" vertical="top" wrapText="1"/>
    </xf>
    <xf numFmtId="0" fontId="3" fillId="0" borderId="0" xfId="0" applyFont="1" applyFill="1" applyAlignment="1" applyProtection="1">
      <alignment horizontal="center" vertical="center"/>
    </xf>
    <xf numFmtId="2" fontId="3" fillId="0" borderId="0" xfId="0" applyNumberFormat="1" applyFont="1" applyFill="1" applyBorder="1" applyAlignment="1" applyProtection="1">
      <alignment horizontal="center" vertical="center"/>
    </xf>
    <xf numFmtId="0" fontId="3" fillId="0" borderId="0" xfId="0" applyFont="1" applyFill="1" applyBorder="1" applyAlignment="1" applyProtection="1">
      <alignment horizontal="left" vertical="top" wrapText="1"/>
    </xf>
    <xf numFmtId="0" fontId="3" fillId="0" borderId="0" xfId="0" applyFont="1" applyBorder="1" applyAlignment="1" applyProtection="1">
      <alignment horizontal="center" vertical="top" wrapText="1"/>
    </xf>
    <xf numFmtId="0" fontId="3" fillId="0" borderId="0" xfId="0" applyFont="1" applyBorder="1" applyAlignment="1" applyProtection="1">
      <alignment vertical="top" wrapText="1"/>
    </xf>
    <xf numFmtId="0" fontId="3" fillId="0" borderId="0" xfId="0" applyFont="1" applyBorder="1" applyProtection="1"/>
    <xf numFmtId="0" fontId="3" fillId="0" borderId="0" xfId="0" applyFont="1" applyBorder="1" applyAlignment="1" applyProtection="1">
      <alignment horizontal="left"/>
    </xf>
    <xf numFmtId="0" fontId="4" fillId="0" borderId="0" xfId="0" applyFont="1" applyBorder="1" applyAlignment="1" applyProtection="1">
      <alignment horizontal="right"/>
    </xf>
    <xf numFmtId="0" fontId="3" fillId="0" borderId="2" xfId="0" applyFont="1" applyBorder="1" applyAlignment="1" applyProtection="1">
      <alignment horizontal="center" wrapText="1"/>
    </xf>
    <xf numFmtId="0" fontId="3" fillId="0" borderId="2" xfId="0" applyFont="1" applyBorder="1" applyAlignment="1" applyProtection="1">
      <alignment horizontal="center" vertical="center"/>
    </xf>
    <xf numFmtId="0" fontId="4" fillId="0" borderId="0" xfId="0" applyFont="1" applyAlignment="1" applyProtection="1">
      <alignment horizontal="right" vertical="center"/>
    </xf>
    <xf numFmtId="0" fontId="3" fillId="0" borderId="0" xfId="0" applyFont="1" applyBorder="1" applyAlignment="1" applyProtection="1">
      <alignment horizontal="right" vertical="center"/>
    </xf>
    <xf numFmtId="0" fontId="0" fillId="0" borderId="0" xfId="0" applyBorder="1" applyAlignment="1" applyProtection="1">
      <alignment horizontal="left" vertical="top" wrapText="1"/>
    </xf>
    <xf numFmtId="0" fontId="0" fillId="0" borderId="0" xfId="0" applyBorder="1" applyAlignment="1" applyProtection="1">
      <alignment horizontal="left" vertical="top" wrapText="1"/>
    </xf>
    <xf numFmtId="0" fontId="0" fillId="0" borderId="1" xfId="0" applyFill="1" applyBorder="1" applyAlignment="1" applyProtection="1">
      <alignment horizontal="left" vertical="top" wrapText="1"/>
    </xf>
    <xf numFmtId="0" fontId="0" fillId="0" borderId="0" xfId="0" applyAlignment="1" applyProtection="1">
      <alignment horizontal="left" vertical="top" wrapText="1"/>
    </xf>
    <xf numFmtId="0" fontId="0" fillId="0" borderId="0" xfId="0" applyAlignment="1" applyProtection="1">
      <alignment horizontal="left" vertical="top" wrapText="1"/>
    </xf>
    <xf numFmtId="0" fontId="0" fillId="0" borderId="1" xfId="0" applyBorder="1" applyAlignment="1" applyProtection="1">
      <alignment horizontal="left" vertical="top" wrapText="1"/>
    </xf>
    <xf numFmtId="0" fontId="3" fillId="0" borderId="0" xfId="0" applyFont="1" applyAlignment="1" applyProtection="1">
      <alignment horizontal="left" vertical="top" wrapText="1"/>
    </xf>
    <xf numFmtId="0" fontId="3" fillId="0" borderId="0" xfId="0" applyFont="1" applyBorder="1" applyAlignment="1" applyProtection="1">
      <alignment horizontal="left"/>
    </xf>
    <xf numFmtId="0" fontId="11" fillId="0" borderId="1" xfId="0" applyFont="1" applyBorder="1" applyAlignment="1" applyProtection="1">
      <alignment horizontal="left" vertical="top" wrapText="1"/>
    </xf>
    <xf numFmtId="0" fontId="3" fillId="0" borderId="0" xfId="0" applyFont="1" applyAlignment="1" applyProtection="1">
      <alignment horizontal="center" vertical="center"/>
      <protection locked="0"/>
    </xf>
    <xf numFmtId="164" fontId="3" fillId="0" borderId="0" xfId="0" applyNumberFormat="1" applyFont="1" applyBorder="1" applyAlignment="1" applyProtection="1">
      <alignment horizontal="center" vertical="center"/>
      <protection locked="0"/>
    </xf>
    <xf numFmtId="164" fontId="3" fillId="0" borderId="1" xfId="0" applyNumberFormat="1" applyFont="1" applyBorder="1" applyAlignment="1" applyProtection="1">
      <alignment horizontal="center" vertical="center"/>
      <protection locked="0"/>
    </xf>
    <xf numFmtId="0" fontId="3" fillId="0" borderId="0" xfId="0" applyFont="1" applyProtection="1">
      <protection locked="0"/>
    </xf>
    <xf numFmtId="0" fontId="4" fillId="0" borderId="0" xfId="0" applyFont="1" applyAlignment="1" applyProtection="1">
      <alignment horizontal="center" vertical="center"/>
      <protection locked="0"/>
    </xf>
    <xf numFmtId="0" fontId="3" fillId="0" borderId="1" xfId="0" applyFont="1" applyBorder="1" applyAlignment="1" applyProtection="1">
      <alignment horizontal="center" vertical="center"/>
      <protection locked="0"/>
    </xf>
    <xf numFmtId="164" fontId="3" fillId="0" borderId="0" xfId="0" applyNumberFormat="1"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0" fillId="0" borderId="0" xfId="0" applyProtection="1">
      <protection locked="0"/>
    </xf>
    <xf numFmtId="0" fontId="0" fillId="6" borderId="0" xfId="0" applyFill="1" applyProtection="1">
      <protection locked="0"/>
    </xf>
    <xf numFmtId="0" fontId="0" fillId="6" borderId="0" xfId="0" applyFill="1" applyAlignment="1" applyProtection="1">
      <alignment vertical="top"/>
      <protection locked="0"/>
    </xf>
    <xf numFmtId="0" fontId="0" fillId="6" borderId="0" xfId="0" applyFill="1" applyAlignment="1" applyProtection="1">
      <alignment horizontal="center"/>
      <protection locked="0"/>
    </xf>
  </cellXfs>
  <cellStyles count="17">
    <cellStyle name="A4 Small 210 x 297 mm" xfId="7" xr:uid="{00000000-0005-0000-0000-000000000000}"/>
    <cellStyle name="Comma" xfId="12" builtinId="3"/>
    <cellStyle name="Comma 2" xfId="5" xr:uid="{00000000-0005-0000-0000-000001000000}"/>
    <cellStyle name="Currency 2" xfId="6" xr:uid="{00000000-0005-0000-0000-000002000000}"/>
    <cellStyle name="Excel Built-in Normal" xfId="9" xr:uid="{00000000-0005-0000-0000-000003000000}"/>
    <cellStyle name="Normal" xfId="0" builtinId="0" customBuiltin="1"/>
    <cellStyle name="Normal 2" xfId="1" xr:uid="{00000000-0005-0000-0000-000004000000}"/>
    <cellStyle name="Normal 2 2" xfId="10" xr:uid="{00000000-0005-0000-0000-000005000000}"/>
    <cellStyle name="Normal 3" xfId="3" xr:uid="{00000000-0005-0000-0000-000006000000}"/>
    <cellStyle name="Normal 4" xfId="4" xr:uid="{00000000-0005-0000-0000-000007000000}"/>
    <cellStyle name="Normal_Marcius_radna_A" xfId="13" xr:uid="{00000000-0005-0000-0000-000008000000}"/>
    <cellStyle name="Normal_Sheet1 2" xfId="14" xr:uid="{00000000-0005-0000-0000-000009000000}"/>
    <cellStyle name="Normal_TROSKOVNIK-revizija2" xfId="15" xr:uid="{00000000-0005-0000-0000-00000A000000}"/>
    <cellStyle name="Normalno 2" xfId="2" xr:uid="{00000000-0005-0000-0000-00000C000000}"/>
    <cellStyle name="Normalno 4" xfId="16" xr:uid="{00000000-0005-0000-0000-00000D000000}"/>
    <cellStyle name="Percent 2" xfId="8" xr:uid="{00000000-0005-0000-0000-00000E000000}"/>
    <cellStyle name="Style 1" xfId="11"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http://www.babic.hr/images/navig/nadoknada.gif" TargetMode="External"/><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990600</xdr:colOff>
      <xdr:row>147</xdr:row>
      <xdr:rowOff>0</xdr:rowOff>
    </xdr:from>
    <xdr:to>
      <xdr:col>2</xdr:col>
      <xdr:colOff>0</xdr:colOff>
      <xdr:row>147</xdr:row>
      <xdr:rowOff>0</xdr:rowOff>
    </xdr:to>
    <xdr:pic>
      <xdr:nvPicPr>
        <xdr:cNvPr id="2" name="Picture 2">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7360" y="840714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1089660</xdr:colOff>
      <xdr:row>147</xdr:row>
      <xdr:rowOff>0</xdr:rowOff>
    </xdr:from>
    <xdr:to>
      <xdr:col>2</xdr:col>
      <xdr:colOff>0</xdr:colOff>
      <xdr:row>147</xdr:row>
      <xdr:rowOff>0</xdr:rowOff>
    </xdr:to>
    <xdr:pic>
      <xdr:nvPicPr>
        <xdr:cNvPr id="3" name="Picture 3" descr="nealuce_parete">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36420" y="840714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990600</xdr:colOff>
      <xdr:row>147</xdr:row>
      <xdr:rowOff>0</xdr:rowOff>
    </xdr:from>
    <xdr:to>
      <xdr:col>2</xdr:col>
      <xdr:colOff>0</xdr:colOff>
      <xdr:row>147</xdr:row>
      <xdr:rowOff>0</xdr:rowOff>
    </xdr:to>
    <xdr:pic>
      <xdr:nvPicPr>
        <xdr:cNvPr id="7" name="Picture 19">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7360" y="840714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990600</xdr:colOff>
      <xdr:row>147</xdr:row>
      <xdr:rowOff>0</xdr:rowOff>
    </xdr:from>
    <xdr:to>
      <xdr:col>2</xdr:col>
      <xdr:colOff>0</xdr:colOff>
      <xdr:row>147</xdr:row>
      <xdr:rowOff>0</xdr:rowOff>
    </xdr:to>
    <xdr:pic>
      <xdr:nvPicPr>
        <xdr:cNvPr id="8" name="Picture 22">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7360" y="8407146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670560</xdr:colOff>
      <xdr:row>120</xdr:row>
      <xdr:rowOff>1981200</xdr:rowOff>
    </xdr:from>
    <xdr:to>
      <xdr:col>2</xdr:col>
      <xdr:colOff>0</xdr:colOff>
      <xdr:row>121</xdr:row>
      <xdr:rowOff>0</xdr:rowOff>
    </xdr:to>
    <xdr:pic>
      <xdr:nvPicPr>
        <xdr:cNvPr id="15" name="Picture 1">
          <a:extLst>
            <a:ext uri="{FF2B5EF4-FFF2-40B4-BE49-F238E27FC236}">
              <a16:creationId xmlns:a16="http://schemas.microsoft.com/office/drawing/2014/main" id="{00000000-0008-0000-0500-00000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17320" y="64084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552</xdr:row>
      <xdr:rowOff>0</xdr:rowOff>
    </xdr:from>
    <xdr:to>
      <xdr:col>1</xdr:col>
      <xdr:colOff>142875</xdr:colOff>
      <xdr:row>552</xdr:row>
      <xdr:rowOff>76200</xdr:rowOff>
    </xdr:to>
    <xdr:pic>
      <xdr:nvPicPr>
        <xdr:cNvPr id="2" name="Picture 3" descr="http://www.babic.hr/images/navig/nadoknada.gif">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86740" y="206890620"/>
          <a:ext cx="1428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544</xdr:row>
      <xdr:rowOff>0</xdr:rowOff>
    </xdr:from>
    <xdr:to>
      <xdr:col>1</xdr:col>
      <xdr:colOff>142875</xdr:colOff>
      <xdr:row>544</xdr:row>
      <xdr:rowOff>76200</xdr:rowOff>
    </xdr:to>
    <xdr:pic>
      <xdr:nvPicPr>
        <xdr:cNvPr id="3" name="Picture 3" descr="http://www.babic.hr/images/navig/nadoknada.gif">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86740" y="204581760"/>
          <a:ext cx="1428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lanum-mario\d\farma-SLAscaK\TEND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Module6"/>
      <sheetName val="Module5"/>
      <sheetName val="Module4"/>
      <sheetName val="Module3"/>
      <sheetName val="Module2"/>
      <sheetName val="Module1"/>
      <sheetName val="Nap"/>
      <sheetName val="Osn-Pod"/>
      <sheetName val="Ugov"/>
      <sheetName val="Kuce"/>
      <sheetName val="Pr-Sit"/>
      <sheetName val="Dop-Ug"/>
      <sheetName val="Obra"/>
      <sheetName val="Ok-Sit"/>
      <sheetName val="Evid"/>
      <sheetName val="Osn_Pod"/>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row r="5">
          <cell r="E5">
            <v>0</v>
          </cell>
        </row>
      </sheetData>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55"/>
  <sheetViews>
    <sheetView topLeftCell="A4" workbookViewId="0">
      <selection activeCell="O10" sqref="O10"/>
    </sheetView>
  </sheetViews>
  <sheetFormatPr defaultRowHeight="13.2" x14ac:dyDescent="0.25"/>
  <cols>
    <col min="1" max="1" width="9.109375" customWidth="1"/>
  </cols>
  <sheetData>
    <row r="2" spans="1:9" x14ac:dyDescent="0.25">
      <c r="A2" t="s">
        <v>0</v>
      </c>
      <c r="B2" s="1" t="s">
        <v>88</v>
      </c>
    </row>
    <row r="3" spans="1:9" x14ac:dyDescent="0.25">
      <c r="A3" t="s">
        <v>1</v>
      </c>
      <c r="B3" s="9" t="s">
        <v>89</v>
      </c>
    </row>
    <row r="4" spans="1:9" x14ac:dyDescent="0.25">
      <c r="A4" t="s">
        <v>2</v>
      </c>
      <c r="B4" s="9" t="s">
        <v>90</v>
      </c>
    </row>
    <row r="16" spans="1:9" ht="21" x14ac:dyDescent="0.25">
      <c r="A16" s="719" t="s">
        <v>3</v>
      </c>
      <c r="B16" s="719"/>
      <c r="C16" s="719"/>
      <c r="D16" s="719"/>
      <c r="E16" s="719"/>
      <c r="F16" s="719"/>
      <c r="G16" s="719"/>
      <c r="H16" s="719"/>
      <c r="I16" s="719"/>
    </row>
    <row r="17" spans="1:9" ht="21" x14ac:dyDescent="0.25">
      <c r="A17" s="720" t="s">
        <v>1592</v>
      </c>
      <c r="B17" s="719"/>
      <c r="C17" s="719"/>
      <c r="D17" s="719"/>
      <c r="E17" s="719"/>
      <c r="F17" s="719"/>
      <c r="G17" s="719"/>
      <c r="H17" s="719"/>
      <c r="I17" s="719"/>
    </row>
    <row r="18" spans="1:9" x14ac:dyDescent="0.25">
      <c r="C18" s="2"/>
    </row>
    <row r="19" spans="1:9" x14ac:dyDescent="0.25">
      <c r="A19" t="s">
        <v>614</v>
      </c>
      <c r="B19" s="2" t="s">
        <v>615</v>
      </c>
    </row>
    <row r="20" spans="1:9" x14ac:dyDescent="0.25">
      <c r="A20" t="s">
        <v>616</v>
      </c>
      <c r="B20" s="2" t="s">
        <v>617</v>
      </c>
    </row>
    <row r="21" spans="1:9" x14ac:dyDescent="0.25">
      <c r="A21" t="s">
        <v>618</v>
      </c>
      <c r="B21" s="2" t="s">
        <v>627</v>
      </c>
    </row>
    <row r="22" spans="1:9" x14ac:dyDescent="0.25">
      <c r="A22" t="s">
        <v>620</v>
      </c>
      <c r="B22" s="2" t="s">
        <v>1584</v>
      </c>
    </row>
    <row r="23" spans="1:9" x14ac:dyDescent="0.25">
      <c r="A23" t="s">
        <v>622</v>
      </c>
      <c r="B23" s="2" t="s">
        <v>625</v>
      </c>
    </row>
    <row r="24" spans="1:9" x14ac:dyDescent="0.25">
      <c r="A24" t="s">
        <v>624</v>
      </c>
      <c r="B24" s="2" t="s">
        <v>1583</v>
      </c>
    </row>
    <row r="25" spans="1:9" x14ac:dyDescent="0.25">
      <c r="A25" t="s">
        <v>626</v>
      </c>
      <c r="B25" s="2" t="s">
        <v>619</v>
      </c>
    </row>
    <row r="26" spans="1:9" x14ac:dyDescent="0.25">
      <c r="C26" s="2"/>
    </row>
    <row r="27" spans="1:9" x14ac:dyDescent="0.25">
      <c r="C27" s="2"/>
    </row>
    <row r="49" spans="1:6" x14ac:dyDescent="0.25">
      <c r="A49" s="717" t="s">
        <v>91</v>
      </c>
      <c r="B49" s="717"/>
      <c r="C49" s="718" t="s">
        <v>92</v>
      </c>
      <c r="D49" s="718"/>
      <c r="E49" s="718"/>
      <c r="F49" s="30"/>
    </row>
    <row r="51" spans="1:6" x14ac:dyDescent="0.25">
      <c r="A51" s="717" t="s">
        <v>93</v>
      </c>
      <c r="B51" s="717"/>
      <c r="C51" s="718" t="s">
        <v>94</v>
      </c>
      <c r="D51" s="718"/>
      <c r="E51" s="718"/>
      <c r="F51" s="718"/>
    </row>
    <row r="53" spans="1:6" x14ac:dyDescent="0.25">
      <c r="A53" s="717" t="s">
        <v>95</v>
      </c>
      <c r="B53" s="717"/>
      <c r="C53" s="718" t="s">
        <v>96</v>
      </c>
      <c r="D53" s="718"/>
      <c r="E53" s="718"/>
      <c r="F53" s="718"/>
    </row>
    <row r="55" spans="1:6" x14ac:dyDescent="0.25">
      <c r="B55" t="s">
        <v>97</v>
      </c>
    </row>
  </sheetData>
  <mergeCells count="8">
    <mergeCell ref="A53:B53"/>
    <mergeCell ref="C53:F53"/>
    <mergeCell ref="A16:I16"/>
    <mergeCell ref="A49:B49"/>
    <mergeCell ref="C49:E49"/>
    <mergeCell ref="A51:B51"/>
    <mergeCell ref="C51:F51"/>
    <mergeCell ref="A17:I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12"/>
  <sheetViews>
    <sheetView tabSelected="1" zoomScale="90" zoomScaleNormal="90" workbookViewId="0">
      <selection activeCell="H14" sqref="H14"/>
    </sheetView>
  </sheetViews>
  <sheetFormatPr defaultRowHeight="13.2" x14ac:dyDescent="0.25"/>
  <cols>
    <col min="1" max="1" width="5.44140625" style="16" customWidth="1"/>
    <col min="2" max="4" width="9.109375" style="16"/>
    <col min="5" max="5" width="13.6640625" style="16" customWidth="1"/>
    <col min="6" max="6" width="7.109375" style="16" customWidth="1"/>
    <col min="7" max="7" width="9.109375" style="16" customWidth="1"/>
    <col min="8" max="8" width="13.88671875" style="16" customWidth="1"/>
    <col min="9" max="9" width="16.109375" style="16" customWidth="1"/>
    <col min="10" max="10" width="27.21875" customWidth="1"/>
  </cols>
  <sheetData>
    <row r="1" spans="1:10" ht="12.75" customHeight="1" x14ac:dyDescent="0.25">
      <c r="A1" s="730" t="s">
        <v>1585</v>
      </c>
      <c r="B1" s="730"/>
      <c r="C1" s="730"/>
      <c r="D1" s="730"/>
      <c r="E1" s="730"/>
      <c r="F1" s="730"/>
      <c r="G1" s="730"/>
      <c r="H1" s="730"/>
      <c r="I1" s="730"/>
    </row>
    <row r="2" spans="1:10" ht="12.75" customHeight="1" x14ac:dyDescent="0.25">
      <c r="A2" s="11"/>
      <c r="B2" s="11"/>
      <c r="C2" s="11"/>
      <c r="D2" s="11"/>
      <c r="E2" s="11"/>
      <c r="F2" s="11"/>
      <c r="G2" s="11"/>
      <c r="H2" s="11"/>
      <c r="I2" s="11"/>
    </row>
    <row r="4" spans="1:10" x14ac:dyDescent="0.25">
      <c r="A4" s="7" t="s">
        <v>60</v>
      </c>
      <c r="B4" s="8"/>
      <c r="C4" s="8"/>
      <c r="D4" s="8"/>
      <c r="E4" s="8"/>
      <c r="F4" s="12"/>
      <c r="G4" s="12"/>
      <c r="H4" s="12"/>
      <c r="I4" s="12"/>
    </row>
    <row r="5" spans="1:10" x14ac:dyDescent="0.25">
      <c r="A5" s="7"/>
      <c r="B5" s="8"/>
      <c r="C5" s="8"/>
      <c r="D5" s="8"/>
      <c r="E5" s="8"/>
      <c r="F5" s="12"/>
      <c r="G5" s="12"/>
      <c r="H5" s="12"/>
      <c r="I5" s="12"/>
    </row>
    <row r="6" spans="1:10" ht="12.75" customHeight="1" x14ac:dyDescent="0.25">
      <c r="A6" s="13" t="s">
        <v>4</v>
      </c>
      <c r="B6" s="727" t="s">
        <v>5</v>
      </c>
      <c r="C6" s="727"/>
      <c r="D6" s="727"/>
      <c r="E6" s="727"/>
      <c r="F6" s="13" t="s">
        <v>6</v>
      </c>
      <c r="G6" s="13" t="s">
        <v>7</v>
      </c>
      <c r="H6" s="13" t="s">
        <v>9</v>
      </c>
      <c r="I6" s="13" t="s">
        <v>8</v>
      </c>
      <c r="J6" s="694" t="s">
        <v>1580</v>
      </c>
    </row>
    <row r="7" spans="1:10" x14ac:dyDescent="0.25">
      <c r="A7" s="12"/>
      <c r="B7" s="8"/>
      <c r="C7" s="8"/>
      <c r="D7" s="8"/>
      <c r="E7" s="8"/>
      <c r="F7" s="12"/>
      <c r="G7" s="12"/>
      <c r="H7" s="845"/>
      <c r="I7" s="12"/>
    </row>
    <row r="8" spans="1:10" ht="41.25" customHeight="1" x14ac:dyDescent="0.25">
      <c r="A8" s="14" t="s">
        <v>11</v>
      </c>
      <c r="B8" s="810" t="s">
        <v>102</v>
      </c>
      <c r="C8" s="810" t="s">
        <v>41</v>
      </c>
      <c r="D8" s="810" t="s">
        <v>41</v>
      </c>
      <c r="E8" s="810" t="s">
        <v>41</v>
      </c>
      <c r="F8" s="811" t="s">
        <v>59</v>
      </c>
      <c r="G8" s="812">
        <f>1594.64*0.25</f>
        <v>398.66</v>
      </c>
      <c r="H8" s="846"/>
      <c r="I8" s="5">
        <f>G8*H8</f>
        <v>0</v>
      </c>
      <c r="J8" s="854"/>
    </row>
    <row r="9" spans="1:10" x14ac:dyDescent="0.25">
      <c r="A9" s="12"/>
      <c r="B9" s="813"/>
      <c r="C9" s="813"/>
      <c r="D9" s="813"/>
      <c r="E9" s="813"/>
      <c r="F9" s="811"/>
      <c r="G9" s="811"/>
      <c r="H9" s="845"/>
      <c r="I9" s="12"/>
      <c r="J9" s="854"/>
    </row>
    <row r="10" spans="1:10" ht="81.75" customHeight="1" x14ac:dyDescent="0.25">
      <c r="A10" s="14" t="s">
        <v>12</v>
      </c>
      <c r="B10" s="810" t="s">
        <v>425</v>
      </c>
      <c r="C10" s="810" t="s">
        <v>41</v>
      </c>
      <c r="D10" s="810" t="s">
        <v>41</v>
      </c>
      <c r="E10" s="810" t="s">
        <v>41</v>
      </c>
      <c r="F10" s="811" t="s">
        <v>59</v>
      </c>
      <c r="G10" s="812">
        <f>(0.9*(17.94*2+7*2+17.76+3.6+3.4+2.44+1.21+0.71+3.24))+(6+1.6)+(2*0.9*2)+(1.31*3*0.9)+(0.65*3*0.9)</f>
        <v>90.507999999999981</v>
      </c>
      <c r="H10" s="846"/>
      <c r="I10" s="5">
        <f>G10*H10</f>
        <v>0</v>
      </c>
      <c r="J10" s="854"/>
    </row>
    <row r="11" spans="1:10" x14ac:dyDescent="0.25">
      <c r="A11" s="12"/>
      <c r="B11" s="813"/>
      <c r="C11" s="813"/>
      <c r="D11" s="813"/>
      <c r="E11" s="813"/>
      <c r="F11" s="811"/>
      <c r="G11" s="812"/>
      <c r="H11" s="845"/>
      <c r="I11" s="10"/>
      <c r="J11" s="854"/>
    </row>
    <row r="12" spans="1:10" ht="41.25" customHeight="1" x14ac:dyDescent="0.25">
      <c r="A12" s="14" t="s">
        <v>13</v>
      </c>
      <c r="B12" s="810" t="s">
        <v>99</v>
      </c>
      <c r="C12" s="810" t="s">
        <v>42</v>
      </c>
      <c r="D12" s="810" t="s">
        <v>42</v>
      </c>
      <c r="E12" s="810" t="s">
        <v>42</v>
      </c>
      <c r="F12" s="811" t="s">
        <v>58</v>
      </c>
      <c r="G12" s="812">
        <f>(17.94*2+7*2+17.76+3.6+3.4+2.44+1.21+0.71+3.24)+(6)+(2*2)+(1.31*3)+(0.65*3)</f>
        <v>98.11999999999999</v>
      </c>
      <c r="H12" s="846"/>
      <c r="I12" s="5">
        <f>G12*H12</f>
        <v>0</v>
      </c>
      <c r="J12" s="854"/>
    </row>
    <row r="13" spans="1:10" x14ac:dyDescent="0.25">
      <c r="A13" s="14"/>
      <c r="B13" s="814"/>
      <c r="C13" s="814"/>
      <c r="D13" s="814"/>
      <c r="E13" s="814"/>
      <c r="F13" s="811"/>
      <c r="G13" s="812"/>
      <c r="H13" s="846"/>
      <c r="I13" s="5"/>
      <c r="J13" s="854"/>
    </row>
    <row r="14" spans="1:10" ht="67.5" customHeight="1" x14ac:dyDescent="0.25">
      <c r="A14" s="14" t="s">
        <v>14</v>
      </c>
      <c r="B14" s="729" t="s">
        <v>98</v>
      </c>
      <c r="C14" s="729" t="s">
        <v>41</v>
      </c>
      <c r="D14" s="729" t="s">
        <v>41</v>
      </c>
      <c r="E14" s="729" t="s">
        <v>41</v>
      </c>
      <c r="F14" s="811" t="s">
        <v>59</v>
      </c>
      <c r="G14" s="812">
        <f>0.2*(9.4+10.33+22.03+15.2+15.21+3.87+8.81+37.35+11.94+3.82+18.16+17.64+17.37+18.85+46.41)</f>
        <v>51.277999999999999</v>
      </c>
      <c r="H14" s="846"/>
      <c r="I14" s="5">
        <f>G14*H14</f>
        <v>0</v>
      </c>
      <c r="J14" s="854"/>
    </row>
    <row r="15" spans="1:10" x14ac:dyDescent="0.25">
      <c r="A15" s="14"/>
      <c r="B15" s="814"/>
      <c r="C15" s="814"/>
      <c r="D15" s="814"/>
      <c r="E15" s="814"/>
      <c r="F15" s="811"/>
      <c r="G15" s="812"/>
      <c r="H15" s="846"/>
      <c r="I15" s="5"/>
      <c r="J15" s="854"/>
    </row>
    <row r="16" spans="1:10" ht="55.5" customHeight="1" x14ac:dyDescent="0.25">
      <c r="A16" s="15" t="s">
        <v>100</v>
      </c>
      <c r="B16" s="728" t="s">
        <v>101</v>
      </c>
      <c r="C16" s="728"/>
      <c r="D16" s="728"/>
      <c r="E16" s="728"/>
      <c r="F16" s="815" t="s">
        <v>59</v>
      </c>
      <c r="G16" s="816">
        <f>(G8+G10)*1.3</f>
        <v>635.91840000000002</v>
      </c>
      <c r="H16" s="847"/>
      <c r="I16" s="6">
        <f>G16*H16</f>
        <v>0</v>
      </c>
      <c r="J16" s="854"/>
    </row>
    <row r="17" spans="1:10" x14ac:dyDescent="0.25">
      <c r="B17" s="817"/>
      <c r="C17" s="817"/>
      <c r="D17" s="817"/>
      <c r="E17" s="817"/>
      <c r="F17" s="817"/>
      <c r="G17" s="817"/>
      <c r="H17" s="848"/>
      <c r="J17" s="854"/>
    </row>
    <row r="18" spans="1:10" x14ac:dyDescent="0.25">
      <c r="B18" s="817"/>
      <c r="C18" s="817"/>
      <c r="D18" s="817"/>
      <c r="E18" s="818"/>
      <c r="F18" s="819" t="s">
        <v>60</v>
      </c>
      <c r="G18" s="817"/>
      <c r="H18" s="849" t="s">
        <v>15</v>
      </c>
      <c r="I18" s="18">
        <f>SUM(I8:I16)</f>
        <v>0</v>
      </c>
      <c r="J18" s="854"/>
    </row>
    <row r="19" spans="1:10" x14ac:dyDescent="0.25">
      <c r="B19" s="817"/>
      <c r="C19" s="817"/>
      <c r="D19" s="817"/>
      <c r="E19" s="818"/>
      <c r="F19" s="819"/>
      <c r="G19" s="817"/>
      <c r="H19" s="849"/>
      <c r="I19" s="18"/>
      <c r="J19" s="854"/>
    </row>
    <row r="20" spans="1:10" x14ac:dyDescent="0.25">
      <c r="B20" s="817"/>
      <c r="C20" s="817"/>
      <c r="D20" s="817"/>
      <c r="E20" s="818"/>
      <c r="F20" s="819"/>
      <c r="G20" s="817"/>
      <c r="H20" s="849"/>
      <c r="I20" s="18"/>
      <c r="J20" s="854"/>
    </row>
    <row r="21" spans="1:10" x14ac:dyDescent="0.25">
      <c r="A21" s="7" t="s">
        <v>61</v>
      </c>
      <c r="B21" s="813"/>
      <c r="C21" s="813"/>
      <c r="D21" s="813"/>
      <c r="E21" s="813"/>
      <c r="F21" s="811"/>
      <c r="G21" s="811"/>
      <c r="H21" s="845"/>
      <c r="I21" s="12"/>
      <c r="J21" s="854"/>
    </row>
    <row r="22" spans="1:10" x14ac:dyDescent="0.25">
      <c r="A22" s="7"/>
      <c r="B22" s="813"/>
      <c r="C22" s="813"/>
      <c r="D22" s="813"/>
      <c r="E22" s="813"/>
      <c r="F22" s="811"/>
      <c r="G22" s="811"/>
      <c r="H22" s="845"/>
      <c r="I22" s="12"/>
      <c r="J22" s="854"/>
    </row>
    <row r="23" spans="1:10" x14ac:dyDescent="0.25">
      <c r="A23" s="13" t="s">
        <v>4</v>
      </c>
      <c r="B23" s="820" t="s">
        <v>5</v>
      </c>
      <c r="C23" s="820"/>
      <c r="D23" s="820"/>
      <c r="E23" s="820"/>
      <c r="F23" s="815" t="s">
        <v>6</v>
      </c>
      <c r="G23" s="815" t="s">
        <v>7</v>
      </c>
      <c r="H23" s="850" t="s">
        <v>9</v>
      </c>
      <c r="I23" s="13" t="s">
        <v>8</v>
      </c>
      <c r="J23" s="854"/>
    </row>
    <row r="24" spans="1:10" ht="12.75" customHeight="1" x14ac:dyDescent="0.25">
      <c r="A24" s="12"/>
      <c r="B24" s="813"/>
      <c r="C24" s="813"/>
      <c r="D24" s="813"/>
      <c r="E24" s="813"/>
      <c r="F24" s="811"/>
      <c r="G24" s="811"/>
      <c r="H24" s="845"/>
      <c r="I24" s="12"/>
      <c r="J24" s="854"/>
    </row>
    <row r="25" spans="1:10" ht="66.75" customHeight="1" x14ac:dyDescent="0.25">
      <c r="A25" s="14" t="s">
        <v>16</v>
      </c>
      <c r="B25" s="810" t="s">
        <v>103</v>
      </c>
      <c r="C25" s="810" t="s">
        <v>43</v>
      </c>
      <c r="D25" s="810" t="s">
        <v>43</v>
      </c>
      <c r="E25" s="810" t="s">
        <v>43</v>
      </c>
      <c r="F25" s="811" t="s">
        <v>58</v>
      </c>
      <c r="G25" s="812">
        <f>40.44*0.12</f>
        <v>4.8527999999999993</v>
      </c>
      <c r="H25" s="846"/>
      <c r="I25" s="5">
        <f>G25*H25</f>
        <v>0</v>
      </c>
      <c r="J25" s="854"/>
    </row>
    <row r="26" spans="1:10" x14ac:dyDescent="0.25">
      <c r="A26" s="14"/>
      <c r="B26" s="814"/>
      <c r="C26" s="814"/>
      <c r="D26" s="814"/>
      <c r="E26" s="814"/>
      <c r="F26" s="811"/>
      <c r="G26" s="812"/>
      <c r="H26" s="846"/>
      <c r="I26" s="5"/>
      <c r="J26" s="854"/>
    </row>
    <row r="27" spans="1:10" ht="66.75" customHeight="1" x14ac:dyDescent="0.25">
      <c r="A27" s="14" t="s">
        <v>17</v>
      </c>
      <c r="B27" s="810" t="s">
        <v>129</v>
      </c>
      <c r="C27" s="810" t="s">
        <v>43</v>
      </c>
      <c r="D27" s="810" t="s">
        <v>43</v>
      </c>
      <c r="E27" s="810" t="s">
        <v>43</v>
      </c>
      <c r="F27" s="811" t="s">
        <v>58</v>
      </c>
      <c r="G27" s="812">
        <f>45.05*0.15</f>
        <v>6.7574999999999994</v>
      </c>
      <c r="H27" s="846"/>
      <c r="I27" s="5">
        <f>G27*H27</f>
        <v>0</v>
      </c>
      <c r="J27" s="854"/>
    </row>
    <row r="28" spans="1:10" x14ac:dyDescent="0.25">
      <c r="A28" s="14"/>
      <c r="B28" s="814"/>
      <c r="C28" s="814"/>
      <c r="D28" s="814"/>
      <c r="E28" s="814"/>
      <c r="F28" s="811"/>
      <c r="G28" s="812"/>
      <c r="H28" s="846"/>
      <c r="I28" s="5"/>
      <c r="J28" s="854"/>
    </row>
    <row r="29" spans="1:10" ht="79.5" customHeight="1" x14ac:dyDescent="0.25">
      <c r="A29" s="14" t="s">
        <v>18</v>
      </c>
      <c r="B29" s="810" t="s">
        <v>318</v>
      </c>
      <c r="C29" s="810" t="s">
        <v>44</v>
      </c>
      <c r="D29" s="810" t="s">
        <v>44</v>
      </c>
      <c r="E29" s="810" t="s">
        <v>44</v>
      </c>
      <c r="F29" s="811" t="s">
        <v>58</v>
      </c>
      <c r="G29" s="812">
        <f>0.25*3.4*(22+47+26+40+46)</f>
        <v>153.85</v>
      </c>
      <c r="H29" s="846"/>
      <c r="I29" s="5">
        <f>G29*H29</f>
        <v>0</v>
      </c>
      <c r="J29" s="854"/>
    </row>
    <row r="30" spans="1:10" x14ac:dyDescent="0.25">
      <c r="A30" s="14"/>
      <c r="B30" s="814"/>
      <c r="C30" s="814"/>
      <c r="D30" s="814"/>
      <c r="E30" s="814"/>
      <c r="F30" s="811"/>
      <c r="G30" s="812"/>
      <c r="H30" s="846"/>
      <c r="I30" s="5"/>
      <c r="J30" s="854"/>
    </row>
    <row r="31" spans="1:10" ht="67.5" customHeight="1" x14ac:dyDescent="0.25">
      <c r="A31" s="14" t="s">
        <v>20</v>
      </c>
      <c r="B31" s="810" t="s">
        <v>104</v>
      </c>
      <c r="C31" s="810" t="s">
        <v>45</v>
      </c>
      <c r="D31" s="810" t="s">
        <v>45</v>
      </c>
      <c r="E31" s="810" t="s">
        <v>45</v>
      </c>
      <c r="F31" s="821" t="s">
        <v>58</v>
      </c>
      <c r="G31" s="812">
        <f>81.77*0.2*2</f>
        <v>32.707999999999998</v>
      </c>
      <c r="H31" s="846"/>
      <c r="I31" s="5">
        <f>G31*H31</f>
        <v>0</v>
      </c>
      <c r="J31" s="854"/>
    </row>
    <row r="32" spans="1:10" x14ac:dyDescent="0.25">
      <c r="A32" s="14"/>
      <c r="B32" s="814"/>
      <c r="C32" s="814"/>
      <c r="D32" s="814"/>
      <c r="E32" s="814"/>
      <c r="F32" s="821"/>
      <c r="G32" s="812"/>
      <c r="H32" s="846"/>
      <c r="I32" s="5"/>
      <c r="J32" s="854"/>
    </row>
    <row r="33" spans="1:10" ht="54" customHeight="1" x14ac:dyDescent="0.25">
      <c r="A33" s="14" t="s">
        <v>21</v>
      </c>
      <c r="B33" s="810" t="s">
        <v>105</v>
      </c>
      <c r="C33" s="810" t="s">
        <v>45</v>
      </c>
      <c r="D33" s="810" t="s">
        <v>45</v>
      </c>
      <c r="E33" s="810" t="s">
        <v>45</v>
      </c>
      <c r="F33" s="821" t="s">
        <v>58</v>
      </c>
      <c r="G33" s="812">
        <f>(5.05*1.3+7.14*1.3)+(0.15*1.3*24*2)+(13.4*2)</f>
        <v>52.007000000000005</v>
      </c>
      <c r="H33" s="846"/>
      <c r="I33" s="5">
        <f>G33*H33</f>
        <v>0</v>
      </c>
      <c r="J33" s="854"/>
    </row>
    <row r="34" spans="1:10" x14ac:dyDescent="0.25">
      <c r="A34" s="14"/>
      <c r="B34" s="814"/>
      <c r="C34" s="814"/>
      <c r="D34" s="814"/>
      <c r="E34" s="814"/>
      <c r="F34" s="821"/>
      <c r="G34" s="812"/>
      <c r="H34" s="846"/>
      <c r="I34" s="5"/>
      <c r="J34" s="854"/>
    </row>
    <row r="35" spans="1:10" ht="52.5" customHeight="1" x14ac:dyDescent="0.25">
      <c r="A35" s="14" t="s">
        <v>22</v>
      </c>
      <c r="B35" s="810" t="s">
        <v>316</v>
      </c>
      <c r="C35" s="810" t="s">
        <v>45</v>
      </c>
      <c r="D35" s="810" t="s">
        <v>45</v>
      </c>
      <c r="E35" s="810" t="s">
        <v>45</v>
      </c>
      <c r="F35" s="821" t="s">
        <v>58</v>
      </c>
      <c r="G35" s="812">
        <f>(10.64*8.6+8.64*8.25)</f>
        <v>162.78399999999999</v>
      </c>
      <c r="H35" s="846"/>
      <c r="I35" s="5">
        <f>G35*H35</f>
        <v>0</v>
      </c>
      <c r="J35" s="854"/>
    </row>
    <row r="36" spans="1:10" x14ac:dyDescent="0.25">
      <c r="A36" s="14"/>
      <c r="B36" s="814"/>
      <c r="C36" s="814"/>
      <c r="D36" s="814"/>
      <c r="E36" s="814"/>
      <c r="F36" s="821"/>
      <c r="G36" s="812"/>
      <c r="H36" s="846"/>
      <c r="I36" s="5"/>
      <c r="J36" s="854"/>
    </row>
    <row r="37" spans="1:10" ht="66" customHeight="1" x14ac:dyDescent="0.25">
      <c r="A37" s="14" t="s">
        <v>83</v>
      </c>
      <c r="B37" s="810" t="s">
        <v>120</v>
      </c>
      <c r="C37" s="810" t="s">
        <v>44</v>
      </c>
      <c r="D37" s="810" t="s">
        <v>44</v>
      </c>
      <c r="E37" s="810" t="s">
        <v>44</v>
      </c>
      <c r="F37" s="811" t="s">
        <v>58</v>
      </c>
      <c r="G37" s="812">
        <f>1.6*7*2</f>
        <v>22.400000000000002</v>
      </c>
      <c r="H37" s="846"/>
      <c r="I37" s="5">
        <f>G37*H37</f>
        <v>0</v>
      </c>
      <c r="J37" s="854"/>
    </row>
    <row r="38" spans="1:10" x14ac:dyDescent="0.25">
      <c r="A38" s="14"/>
      <c r="B38" s="814"/>
      <c r="C38" s="814"/>
      <c r="D38" s="814"/>
      <c r="E38" s="814"/>
      <c r="F38" s="821"/>
      <c r="G38" s="812"/>
      <c r="H38" s="846"/>
      <c r="I38" s="5"/>
      <c r="J38" s="854"/>
    </row>
    <row r="39" spans="1:10" ht="54" customHeight="1" x14ac:dyDescent="0.25">
      <c r="A39" s="15" t="s">
        <v>209</v>
      </c>
      <c r="B39" s="822" t="s">
        <v>106</v>
      </c>
      <c r="C39" s="822" t="s">
        <v>45</v>
      </c>
      <c r="D39" s="822" t="s">
        <v>45</v>
      </c>
      <c r="E39" s="822" t="s">
        <v>45</v>
      </c>
      <c r="F39" s="815" t="s">
        <v>58</v>
      </c>
      <c r="G39" s="816">
        <f>(0.25*3+0.35*3*2)*2+(0.25*4.75+0.5*4.75*2)+(0.25*2.5+0.3*2.5*2)*2+(0.25*1.5*3)*5+(0.25*2.2*3)+(0.25*4.25+0.45*4.25*2)*8+(0.25*6+0.6*6*2)*2+(0.25*3.3+0.4*3.3*2)*6+(0.25*3.35+0.4*3.35*2)*11+(0.25*3+0.35*3*2)+(0.25*2.5+0.3*2.5*2)+(0.25*9.25+0.6*9.25*2)*2+(0.25*2.2+0.2*2.2*2)*2+(0.25*1.4+0.2*1.4*2)+(0.25*6+0.6*6*2)*5</f>
        <v>218.21499999999997</v>
      </c>
      <c r="H39" s="847"/>
      <c r="I39" s="6">
        <f>G39*H39</f>
        <v>0</v>
      </c>
      <c r="J39" s="854"/>
    </row>
    <row r="40" spans="1:10" x14ac:dyDescent="0.25">
      <c r="B40" s="817"/>
      <c r="C40" s="817"/>
      <c r="D40" s="817"/>
      <c r="E40" s="817"/>
      <c r="F40" s="817"/>
      <c r="G40" s="817"/>
      <c r="H40" s="848"/>
      <c r="J40" s="854"/>
    </row>
    <row r="41" spans="1:10" x14ac:dyDescent="0.25">
      <c r="B41" s="817"/>
      <c r="C41" s="817"/>
      <c r="D41" s="817"/>
      <c r="E41" s="818"/>
      <c r="F41" s="819" t="s">
        <v>61</v>
      </c>
      <c r="G41" s="817"/>
      <c r="H41" s="849" t="s">
        <v>15</v>
      </c>
      <c r="I41" s="18">
        <f>SUM(I25:I39)</f>
        <v>0</v>
      </c>
      <c r="J41" s="854"/>
    </row>
    <row r="42" spans="1:10" x14ac:dyDescent="0.25">
      <c r="B42" s="817"/>
      <c r="C42" s="817"/>
      <c r="D42" s="817"/>
      <c r="E42" s="818"/>
      <c r="F42" s="819"/>
      <c r="G42" s="817"/>
      <c r="H42" s="849"/>
      <c r="I42" s="18"/>
      <c r="J42" s="854"/>
    </row>
    <row r="43" spans="1:10" x14ac:dyDescent="0.25">
      <c r="B43" s="817"/>
      <c r="C43" s="817"/>
      <c r="D43" s="817"/>
      <c r="E43" s="818"/>
      <c r="F43" s="819"/>
      <c r="G43" s="817"/>
      <c r="H43" s="849"/>
      <c r="I43" s="18"/>
      <c r="J43" s="854"/>
    </row>
    <row r="44" spans="1:10" x14ac:dyDescent="0.25">
      <c r="A44" s="7" t="s">
        <v>62</v>
      </c>
      <c r="B44" s="813"/>
      <c r="C44" s="813"/>
      <c r="D44" s="813"/>
      <c r="E44" s="813"/>
      <c r="F44" s="811"/>
      <c r="G44" s="811"/>
      <c r="H44" s="845"/>
      <c r="I44" s="12"/>
      <c r="J44" s="854"/>
    </row>
    <row r="45" spans="1:10" x14ac:dyDescent="0.25">
      <c r="A45" s="7"/>
      <c r="B45" s="813"/>
      <c r="C45" s="813"/>
      <c r="D45" s="813"/>
      <c r="E45" s="813"/>
      <c r="F45" s="811"/>
      <c r="G45" s="811"/>
      <c r="H45" s="845"/>
      <c r="I45" s="12"/>
      <c r="J45" s="854"/>
    </row>
    <row r="46" spans="1:10" x14ac:dyDescent="0.25">
      <c r="A46" s="13" t="s">
        <v>4</v>
      </c>
      <c r="B46" s="820" t="s">
        <v>5</v>
      </c>
      <c r="C46" s="820"/>
      <c r="D46" s="820"/>
      <c r="E46" s="820"/>
      <c r="F46" s="815" t="s">
        <v>6</v>
      </c>
      <c r="G46" s="815" t="s">
        <v>7</v>
      </c>
      <c r="H46" s="850" t="s">
        <v>9</v>
      </c>
      <c r="I46" s="13" t="s">
        <v>8</v>
      </c>
      <c r="J46" s="854"/>
    </row>
    <row r="47" spans="1:10" x14ac:dyDescent="0.25">
      <c r="A47" s="12"/>
      <c r="B47" s="813"/>
      <c r="C47" s="813"/>
      <c r="D47" s="813"/>
      <c r="E47" s="813"/>
      <c r="F47" s="811"/>
      <c r="G47" s="811"/>
      <c r="H47" s="845"/>
      <c r="I47" s="12"/>
      <c r="J47" s="854"/>
    </row>
    <row r="48" spans="1:10" ht="82.5" customHeight="1" x14ac:dyDescent="0.25">
      <c r="A48" s="14" t="s">
        <v>23</v>
      </c>
      <c r="B48" s="810" t="s">
        <v>107</v>
      </c>
      <c r="C48" s="810" t="s">
        <v>46</v>
      </c>
      <c r="D48" s="810" t="s">
        <v>46</v>
      </c>
      <c r="E48" s="810" t="s">
        <v>46</v>
      </c>
      <c r="F48" s="811" t="s">
        <v>59</v>
      </c>
      <c r="G48" s="812">
        <f>G10</f>
        <v>90.507999999999981</v>
      </c>
      <c r="H48" s="846"/>
      <c r="I48" s="5">
        <f>G48*H48</f>
        <v>0</v>
      </c>
      <c r="J48" s="854"/>
    </row>
    <row r="49" spans="1:10" x14ac:dyDescent="0.25">
      <c r="A49" s="14"/>
      <c r="B49" s="814"/>
      <c r="C49" s="814"/>
      <c r="D49" s="814"/>
      <c r="E49" s="814"/>
      <c r="F49" s="811"/>
      <c r="G49" s="812"/>
      <c r="H49" s="846"/>
      <c r="I49" s="5"/>
      <c r="J49" s="854"/>
    </row>
    <row r="50" spans="1:10" ht="65.25" customHeight="1" x14ac:dyDescent="0.25">
      <c r="A50" s="14" t="s">
        <v>24</v>
      </c>
      <c r="B50" s="810" t="s">
        <v>108</v>
      </c>
      <c r="C50" s="810" t="s">
        <v>47</v>
      </c>
      <c r="D50" s="810" t="s">
        <v>47</v>
      </c>
      <c r="E50" s="810" t="s">
        <v>47</v>
      </c>
      <c r="F50" s="811" t="s">
        <v>59</v>
      </c>
      <c r="G50" s="812">
        <f>171.83*0.12</f>
        <v>20.619600000000002</v>
      </c>
      <c r="H50" s="846"/>
      <c r="I50" s="5">
        <f>G50*H50</f>
        <v>0</v>
      </c>
      <c r="J50" s="854"/>
    </row>
    <row r="51" spans="1:10" x14ac:dyDescent="0.25">
      <c r="A51" s="14"/>
      <c r="B51" s="814"/>
      <c r="C51" s="814"/>
      <c r="D51" s="814"/>
      <c r="E51" s="814"/>
      <c r="F51" s="811"/>
      <c r="G51" s="812"/>
      <c r="H51" s="846"/>
      <c r="I51" s="5"/>
      <c r="J51" s="854"/>
    </row>
    <row r="52" spans="1:10" ht="66" customHeight="1" x14ac:dyDescent="0.25">
      <c r="A52" s="14" t="s">
        <v>25</v>
      </c>
      <c r="B52" s="810" t="s">
        <v>127</v>
      </c>
      <c r="C52" s="810" t="s">
        <v>47</v>
      </c>
      <c r="D52" s="810" t="s">
        <v>47</v>
      </c>
      <c r="E52" s="810" t="s">
        <v>47</v>
      </c>
      <c r="F52" s="811" t="s">
        <v>59</v>
      </c>
      <c r="G52" s="812">
        <f>167.52*0.15</f>
        <v>25.128</v>
      </c>
      <c r="H52" s="846"/>
      <c r="I52" s="5">
        <f>G52*H52</f>
        <v>0</v>
      </c>
      <c r="J52" s="854"/>
    </row>
    <row r="53" spans="1:10" x14ac:dyDescent="0.25">
      <c r="B53" s="817"/>
      <c r="C53" s="817"/>
      <c r="D53" s="817"/>
      <c r="E53" s="817"/>
      <c r="F53" s="817"/>
      <c r="G53" s="817"/>
      <c r="H53" s="848"/>
      <c r="J53" s="854"/>
    </row>
    <row r="54" spans="1:10" ht="77.25" customHeight="1" x14ac:dyDescent="0.25">
      <c r="A54" s="14" t="s">
        <v>26</v>
      </c>
      <c r="B54" s="810" t="s">
        <v>121</v>
      </c>
      <c r="C54" s="810" t="s">
        <v>48</v>
      </c>
      <c r="D54" s="810" t="s">
        <v>48</v>
      </c>
      <c r="E54" s="810" t="s">
        <v>48</v>
      </c>
      <c r="F54" s="811" t="s">
        <v>59</v>
      </c>
      <c r="G54" s="812">
        <f>(0.25*0.25*3.4)*(10+19+4+29)+(1*0.25*0.25*26)</f>
        <v>14.799999999999999</v>
      </c>
      <c r="H54" s="846"/>
      <c r="I54" s="5">
        <f>G54*H54</f>
        <v>0</v>
      </c>
      <c r="J54" s="854"/>
    </row>
    <row r="55" spans="1:10" x14ac:dyDescent="0.25">
      <c r="B55" s="817"/>
      <c r="C55" s="817"/>
      <c r="D55" s="817"/>
      <c r="E55" s="817"/>
      <c r="F55" s="817"/>
      <c r="G55" s="817"/>
      <c r="H55" s="848"/>
      <c r="J55" s="854"/>
    </row>
    <row r="56" spans="1:10" ht="79.5" customHeight="1" x14ac:dyDescent="0.25">
      <c r="A56" s="14" t="s">
        <v>27</v>
      </c>
      <c r="B56" s="810" t="s">
        <v>109</v>
      </c>
      <c r="C56" s="810" t="s">
        <v>48</v>
      </c>
      <c r="D56" s="810" t="s">
        <v>48</v>
      </c>
      <c r="E56" s="810" t="s">
        <v>48</v>
      </c>
      <c r="F56" s="821" t="s">
        <v>59</v>
      </c>
      <c r="G56" s="812">
        <f>0.25*0.2*(83.06+12.38+9.25+12.25+4.4+4.5+4.5+9+3.6+83.06+4.6+12.5+83.06)</f>
        <v>16.308</v>
      </c>
      <c r="H56" s="846"/>
      <c r="I56" s="5">
        <f>G56*H56</f>
        <v>0</v>
      </c>
      <c r="J56" s="854"/>
    </row>
    <row r="57" spans="1:10" x14ac:dyDescent="0.25">
      <c r="A57" s="14"/>
      <c r="B57" s="814"/>
      <c r="C57" s="814"/>
      <c r="D57" s="814"/>
      <c r="E57" s="814"/>
      <c r="F57" s="821"/>
      <c r="G57" s="812"/>
      <c r="H57" s="846"/>
      <c r="I57" s="5"/>
      <c r="J57" s="854"/>
    </row>
    <row r="58" spans="1:10" ht="66.75" customHeight="1" x14ac:dyDescent="0.25">
      <c r="A58" s="14" t="s">
        <v>63</v>
      </c>
      <c r="B58" s="810" t="s">
        <v>110</v>
      </c>
      <c r="C58" s="810" t="s">
        <v>48</v>
      </c>
      <c r="D58" s="810" t="s">
        <v>48</v>
      </c>
      <c r="E58" s="810" t="s">
        <v>48</v>
      </c>
      <c r="F58" s="821" t="s">
        <v>59</v>
      </c>
      <c r="G58" s="812">
        <f>1.3*1.3+1.4*1.3</f>
        <v>3.51</v>
      </c>
      <c r="H58" s="846"/>
      <c r="I58" s="5">
        <f>G58*H58</f>
        <v>0</v>
      </c>
      <c r="J58" s="854"/>
    </row>
    <row r="59" spans="1:10" x14ac:dyDescent="0.25">
      <c r="A59" s="14"/>
      <c r="B59" s="814"/>
      <c r="C59" s="814"/>
      <c r="D59" s="814"/>
      <c r="E59" s="814"/>
      <c r="F59" s="821"/>
      <c r="G59" s="812"/>
      <c r="H59" s="846"/>
      <c r="I59" s="5"/>
      <c r="J59" s="854"/>
    </row>
    <row r="60" spans="1:10" ht="67.5" customHeight="1" x14ac:dyDescent="0.25">
      <c r="A60" s="14" t="s">
        <v>64</v>
      </c>
      <c r="B60" s="810" t="s">
        <v>317</v>
      </c>
      <c r="C60" s="810" t="s">
        <v>48</v>
      </c>
      <c r="D60" s="810" t="s">
        <v>48</v>
      </c>
      <c r="E60" s="810" t="s">
        <v>48</v>
      </c>
      <c r="F60" s="821" t="s">
        <v>59</v>
      </c>
      <c r="G60" s="812">
        <f>((7-4.55)*8.25)+(7*0.3*2)-(2.32*0.25*2)</f>
        <v>23.252500000000001</v>
      </c>
      <c r="H60" s="846"/>
      <c r="I60" s="5">
        <f>G60*H60</f>
        <v>0</v>
      </c>
      <c r="J60" s="854"/>
    </row>
    <row r="61" spans="1:10" x14ac:dyDescent="0.25">
      <c r="A61" s="14"/>
      <c r="B61" s="814"/>
      <c r="C61" s="814"/>
      <c r="D61" s="814"/>
      <c r="E61" s="814"/>
      <c r="F61" s="821"/>
      <c r="G61" s="812"/>
      <c r="H61" s="846"/>
      <c r="I61" s="5"/>
      <c r="J61" s="854"/>
    </row>
    <row r="62" spans="1:10" ht="78.75" customHeight="1" x14ac:dyDescent="0.25">
      <c r="A62" s="14" t="s">
        <v>67</v>
      </c>
      <c r="B62" s="810" t="s">
        <v>122</v>
      </c>
      <c r="C62" s="810" t="s">
        <v>48</v>
      </c>
      <c r="D62" s="810" t="s">
        <v>48</v>
      </c>
      <c r="E62" s="810" t="s">
        <v>48</v>
      </c>
      <c r="F62" s="811" t="s">
        <v>59</v>
      </c>
      <c r="G62" s="812">
        <f>0.4*0.4*7*2</f>
        <v>2.2400000000000002</v>
      </c>
      <c r="H62" s="846"/>
      <c r="I62" s="5">
        <f>G62*H62</f>
        <v>0</v>
      </c>
      <c r="J62" s="854"/>
    </row>
    <row r="63" spans="1:10" x14ac:dyDescent="0.25">
      <c r="A63" s="14"/>
      <c r="B63" s="814"/>
      <c r="C63" s="814"/>
      <c r="D63" s="814"/>
      <c r="E63" s="814"/>
      <c r="F63" s="811"/>
      <c r="G63" s="812"/>
      <c r="H63" s="846"/>
      <c r="I63" s="5"/>
      <c r="J63" s="854"/>
    </row>
    <row r="64" spans="1:10" ht="66.75" customHeight="1" x14ac:dyDescent="0.25">
      <c r="A64" s="14" t="s">
        <v>128</v>
      </c>
      <c r="B64" s="810" t="s">
        <v>111</v>
      </c>
      <c r="C64" s="810" t="s">
        <v>48</v>
      </c>
      <c r="D64" s="810" t="s">
        <v>48</v>
      </c>
      <c r="E64" s="810" t="s">
        <v>48</v>
      </c>
      <c r="F64" s="821" t="s">
        <v>59</v>
      </c>
      <c r="G64" s="812">
        <f>(0.25*0.35*3)*2+(0.25*0.5*4.75)+(0.25*0.3*2.5)*2+(0.25*0.2*1.5)*5+(0.25*0.25*2.2)+(0.25*0.45*4.25)*8+(0.25*0.6*6)*2+(0.25*0.4*3.3)*6+(0.25*0.4*3.35)*11+(0.25*0.35*3)+(0.25*0.3*2.5)+(0.25*0.6*9.25)*2+(0.25*0.2*2.2)*2+(0.25*0.2*1.4)+(0.25*0.6*6)*5</f>
        <v>21.311249999999998</v>
      </c>
      <c r="H64" s="846"/>
      <c r="I64" s="5">
        <f>G64*H64</f>
        <v>0</v>
      </c>
      <c r="J64" s="854"/>
    </row>
    <row r="65" spans="1:10" x14ac:dyDescent="0.25">
      <c r="A65" s="14"/>
      <c r="B65" s="814"/>
      <c r="C65" s="814"/>
      <c r="D65" s="814"/>
      <c r="E65" s="814"/>
      <c r="F65" s="821"/>
      <c r="G65" s="812"/>
      <c r="H65" s="846"/>
      <c r="I65" s="5"/>
      <c r="J65" s="854"/>
    </row>
    <row r="66" spans="1:10" ht="78" customHeight="1" x14ac:dyDescent="0.25">
      <c r="A66" s="15" t="s">
        <v>267</v>
      </c>
      <c r="B66" s="822" t="s">
        <v>125</v>
      </c>
      <c r="C66" s="822" t="s">
        <v>48</v>
      </c>
      <c r="D66" s="822" t="s">
        <v>48</v>
      </c>
      <c r="E66" s="822" t="s">
        <v>48</v>
      </c>
      <c r="F66" s="815" t="s">
        <v>59</v>
      </c>
      <c r="G66" s="816">
        <f>0.05*(9.4+10.33+22.03+15.2+15.21+3.87+8.81+37.35+11.94+3.82+18.16+17.64+17.37+18.85+46.41)</f>
        <v>12.8195</v>
      </c>
      <c r="H66" s="847"/>
      <c r="I66" s="6">
        <f>G66*H66</f>
        <v>0</v>
      </c>
      <c r="J66" s="854"/>
    </row>
    <row r="67" spans="1:10" x14ac:dyDescent="0.25">
      <c r="B67" s="817"/>
      <c r="C67" s="817"/>
      <c r="D67" s="817"/>
      <c r="E67" s="817"/>
      <c r="F67" s="817"/>
      <c r="G67" s="817"/>
      <c r="H67" s="848"/>
      <c r="J67" s="854"/>
    </row>
    <row r="68" spans="1:10" x14ac:dyDescent="0.25">
      <c r="B68" s="817"/>
      <c r="C68" s="817"/>
      <c r="D68" s="817"/>
      <c r="E68" s="818"/>
      <c r="F68" s="819" t="s">
        <v>62</v>
      </c>
      <c r="G68" s="817"/>
      <c r="H68" s="849" t="s">
        <v>15</v>
      </c>
      <c r="I68" s="18">
        <f>SUM(I48:I66)</f>
        <v>0</v>
      </c>
      <c r="J68" s="854"/>
    </row>
    <row r="69" spans="1:10" x14ac:dyDescent="0.25">
      <c r="B69" s="817"/>
      <c r="C69" s="817"/>
      <c r="D69" s="817"/>
      <c r="E69" s="818"/>
      <c r="F69" s="819"/>
      <c r="G69" s="817"/>
      <c r="H69" s="849"/>
      <c r="I69" s="18"/>
      <c r="J69" s="854"/>
    </row>
    <row r="70" spans="1:10" x14ac:dyDescent="0.25">
      <c r="B70" s="817"/>
      <c r="C70" s="817"/>
      <c r="D70" s="817"/>
      <c r="E70" s="818"/>
      <c r="F70" s="819"/>
      <c r="G70" s="817"/>
      <c r="H70" s="849"/>
      <c r="I70" s="18"/>
      <c r="J70" s="854"/>
    </row>
    <row r="71" spans="1:10" x14ac:dyDescent="0.25">
      <c r="B71" s="817"/>
      <c r="C71" s="817"/>
      <c r="D71" s="817"/>
      <c r="E71" s="818"/>
      <c r="F71" s="819"/>
      <c r="G71" s="817"/>
      <c r="H71" s="849"/>
      <c r="I71" s="18"/>
      <c r="J71" s="854"/>
    </row>
    <row r="72" spans="1:10" x14ac:dyDescent="0.25">
      <c r="B72" s="817"/>
      <c r="C72" s="817"/>
      <c r="D72" s="817"/>
      <c r="E72" s="818"/>
      <c r="F72" s="819"/>
      <c r="G72" s="817"/>
      <c r="H72" s="849"/>
      <c r="I72" s="18"/>
      <c r="J72" s="854"/>
    </row>
    <row r="73" spans="1:10" x14ac:dyDescent="0.25">
      <c r="A73" s="7" t="s">
        <v>65</v>
      </c>
      <c r="B73" s="813"/>
      <c r="C73" s="813"/>
      <c r="D73" s="813"/>
      <c r="E73" s="813"/>
      <c r="F73" s="811"/>
      <c r="G73" s="811"/>
      <c r="H73" s="845"/>
      <c r="I73" s="12"/>
      <c r="J73" s="854"/>
    </row>
    <row r="74" spans="1:10" x14ac:dyDescent="0.25">
      <c r="A74" s="7"/>
      <c r="B74" s="813"/>
      <c r="C74" s="813"/>
      <c r="D74" s="813"/>
      <c r="E74" s="813"/>
      <c r="F74" s="811"/>
      <c r="G74" s="811"/>
      <c r="H74" s="845"/>
      <c r="I74" s="12"/>
      <c r="J74" s="854"/>
    </row>
    <row r="75" spans="1:10" x14ac:dyDescent="0.25">
      <c r="A75" s="13" t="s">
        <v>4</v>
      </c>
      <c r="B75" s="820" t="s">
        <v>5</v>
      </c>
      <c r="C75" s="820"/>
      <c r="D75" s="820"/>
      <c r="E75" s="820"/>
      <c r="F75" s="815" t="s">
        <v>6</v>
      </c>
      <c r="G75" s="815" t="s">
        <v>7</v>
      </c>
      <c r="H75" s="850" t="s">
        <v>9</v>
      </c>
      <c r="I75" s="13" t="s">
        <v>8</v>
      </c>
      <c r="J75" s="854"/>
    </row>
    <row r="76" spans="1:10" x14ac:dyDescent="0.25">
      <c r="A76" s="12"/>
      <c r="B76" s="813"/>
      <c r="C76" s="813"/>
      <c r="D76" s="813"/>
      <c r="E76" s="813"/>
      <c r="F76" s="811"/>
      <c r="G76" s="811"/>
      <c r="H76" s="845"/>
      <c r="I76" s="12"/>
      <c r="J76" s="854"/>
    </row>
    <row r="77" spans="1:10" ht="69.75" customHeight="1" x14ac:dyDescent="0.25">
      <c r="A77" s="14" t="s">
        <v>28</v>
      </c>
      <c r="B77" s="810" t="s">
        <v>112</v>
      </c>
      <c r="C77" s="810" t="s">
        <v>49</v>
      </c>
      <c r="D77" s="810" t="s">
        <v>49</v>
      </c>
      <c r="E77" s="810" t="s">
        <v>49</v>
      </c>
      <c r="F77" s="811" t="s">
        <v>39</v>
      </c>
      <c r="G77" s="812">
        <f>170*(G48+G54+G62+G64)</f>
        <v>21906.072499999995</v>
      </c>
      <c r="H77" s="846"/>
      <c r="I77" s="5">
        <f>G77*H77</f>
        <v>0</v>
      </c>
      <c r="J77" s="854"/>
    </row>
    <row r="78" spans="1:10" ht="12.75" customHeight="1" x14ac:dyDescent="0.25">
      <c r="B78" s="817"/>
      <c r="C78" s="817"/>
      <c r="D78" s="817"/>
      <c r="E78" s="817"/>
      <c r="F78" s="817"/>
      <c r="G78" s="817"/>
      <c r="H78" s="848"/>
      <c r="J78" s="854"/>
    </row>
    <row r="79" spans="1:10" ht="38.25" customHeight="1" x14ac:dyDescent="0.25">
      <c r="A79" s="15" t="s">
        <v>29</v>
      </c>
      <c r="B79" s="822" t="s">
        <v>113</v>
      </c>
      <c r="C79" s="822" t="s">
        <v>50</v>
      </c>
      <c r="D79" s="822" t="s">
        <v>50</v>
      </c>
      <c r="E79" s="822" t="s">
        <v>50</v>
      </c>
      <c r="F79" s="815" t="s">
        <v>39</v>
      </c>
      <c r="G79" s="816">
        <f>(15*(G50+G52))+(30*(G58+G60))</f>
        <v>1489.0890000000002</v>
      </c>
      <c r="H79" s="847"/>
      <c r="I79" s="6">
        <f>G79*H79</f>
        <v>0</v>
      </c>
      <c r="J79" s="854"/>
    </row>
    <row r="80" spans="1:10" x14ac:dyDescent="0.25">
      <c r="B80" s="817"/>
      <c r="C80" s="817"/>
      <c r="D80" s="817"/>
      <c r="E80" s="817"/>
      <c r="F80" s="817"/>
      <c r="G80" s="817"/>
      <c r="H80" s="848"/>
      <c r="J80" s="854"/>
    </row>
    <row r="81" spans="1:10" x14ac:dyDescent="0.25">
      <c r="B81" s="817"/>
      <c r="C81" s="817"/>
      <c r="D81" s="817"/>
      <c r="E81" s="818"/>
      <c r="F81" s="819" t="s">
        <v>65</v>
      </c>
      <c r="G81" s="817"/>
      <c r="H81" s="849" t="s">
        <v>15</v>
      </c>
      <c r="I81" s="18">
        <f>SUM(I77:I79)</f>
        <v>0</v>
      </c>
      <c r="J81" s="854"/>
    </row>
    <row r="82" spans="1:10" x14ac:dyDescent="0.25">
      <c r="B82" s="817"/>
      <c r="C82" s="817"/>
      <c r="D82" s="817"/>
      <c r="E82" s="818"/>
      <c r="F82" s="819"/>
      <c r="G82" s="817"/>
      <c r="H82" s="849"/>
      <c r="I82" s="18"/>
      <c r="J82" s="854"/>
    </row>
    <row r="83" spans="1:10" x14ac:dyDescent="0.25">
      <c r="B83" s="817"/>
      <c r="C83" s="817"/>
      <c r="D83" s="817"/>
      <c r="E83" s="818"/>
      <c r="F83" s="819"/>
      <c r="G83" s="817"/>
      <c r="H83" s="849"/>
      <c r="I83" s="18"/>
      <c r="J83" s="854"/>
    </row>
    <row r="84" spans="1:10" x14ac:dyDescent="0.25">
      <c r="A84" s="7" t="s">
        <v>66</v>
      </c>
      <c r="B84" s="813"/>
      <c r="C84" s="813"/>
      <c r="D84" s="813"/>
      <c r="E84" s="813"/>
      <c r="F84" s="811"/>
      <c r="G84" s="812"/>
      <c r="H84" s="845"/>
      <c r="I84" s="12"/>
      <c r="J84" s="854"/>
    </row>
    <row r="85" spans="1:10" x14ac:dyDescent="0.25">
      <c r="A85" s="7"/>
      <c r="B85" s="813"/>
      <c r="C85" s="813"/>
      <c r="D85" s="813"/>
      <c r="E85" s="813"/>
      <c r="F85" s="811"/>
      <c r="G85" s="811"/>
      <c r="H85" s="845"/>
      <c r="I85" s="12"/>
      <c r="J85" s="854"/>
    </row>
    <row r="86" spans="1:10" x14ac:dyDescent="0.25">
      <c r="A86" s="13" t="s">
        <v>4</v>
      </c>
      <c r="B86" s="820" t="s">
        <v>5</v>
      </c>
      <c r="C86" s="820"/>
      <c r="D86" s="820"/>
      <c r="E86" s="820"/>
      <c r="F86" s="815" t="s">
        <v>6</v>
      </c>
      <c r="G86" s="815" t="s">
        <v>7</v>
      </c>
      <c r="H86" s="850" t="s">
        <v>9</v>
      </c>
      <c r="I86" s="13" t="s">
        <v>8</v>
      </c>
      <c r="J86" s="854"/>
    </row>
    <row r="87" spans="1:10" x14ac:dyDescent="0.25">
      <c r="A87" s="12"/>
      <c r="B87" s="813"/>
      <c r="C87" s="813"/>
      <c r="D87" s="813"/>
      <c r="E87" s="813"/>
      <c r="F87" s="811"/>
      <c r="G87" s="811"/>
      <c r="H87" s="845"/>
      <c r="I87" s="12"/>
      <c r="J87" s="854"/>
    </row>
    <row r="88" spans="1:10" ht="78.75" customHeight="1" x14ac:dyDescent="0.25">
      <c r="A88" s="110" t="s">
        <v>30</v>
      </c>
      <c r="B88" s="823" t="s">
        <v>114</v>
      </c>
      <c r="C88" s="823" t="s">
        <v>51</v>
      </c>
      <c r="D88" s="823" t="s">
        <v>51</v>
      </c>
      <c r="E88" s="823" t="s">
        <v>51</v>
      </c>
      <c r="F88" s="824" t="s">
        <v>59</v>
      </c>
      <c r="G88" s="825">
        <f>(3.4*(1.45+1.07*9+0.55+0.84*8+0.63+0.75+0.38+1.07*4+0.38*4+0.63+1.01+0.84+0.32*4+0.3*2+0.75*2))+(3.4*(1.07*4+0.55+0.84*8+0.63+0.75+1.07*4+0.38*4+0.63+1.01+0.84+0.32*4+0.3*2+0.75*2))-(0.25*(16.5*2+2.1+3.5+6.78+3.1*3+1.75+0.6+1.15*2+2.53*2+5.95*6+3.1+4.7*3))-G64-(0.25*(1.8*2.6+1*2.1*8))</f>
        <v>135.62025000000003</v>
      </c>
      <c r="H88" s="851"/>
      <c r="I88" s="111">
        <f>G88*H88</f>
        <v>0</v>
      </c>
      <c r="J88" s="854"/>
    </row>
    <row r="89" spans="1:10" ht="12.75" customHeight="1" x14ac:dyDescent="0.25">
      <c r="B89" s="817"/>
      <c r="C89" s="817"/>
      <c r="D89" s="817"/>
      <c r="E89" s="817"/>
      <c r="F89" s="817"/>
      <c r="G89" s="817"/>
      <c r="H89" s="848"/>
      <c r="J89" s="854"/>
    </row>
    <row r="90" spans="1:10" ht="69.75" customHeight="1" x14ac:dyDescent="0.25">
      <c r="A90" s="110" t="s">
        <v>31</v>
      </c>
      <c r="B90" s="823" t="s">
        <v>115</v>
      </c>
      <c r="C90" s="823" t="s">
        <v>51</v>
      </c>
      <c r="D90" s="823" t="s">
        <v>51</v>
      </c>
      <c r="E90" s="823" t="s">
        <v>51</v>
      </c>
      <c r="F90" s="824" t="s">
        <v>59</v>
      </c>
      <c r="G90" s="825">
        <f>87.69*0.25*1</f>
        <v>21.922499999999999</v>
      </c>
      <c r="H90" s="851"/>
      <c r="I90" s="111">
        <f>G90*H90</f>
        <v>0</v>
      </c>
      <c r="J90" s="854"/>
    </row>
    <row r="91" spans="1:10" x14ac:dyDescent="0.25">
      <c r="A91" s="110"/>
      <c r="B91" s="826"/>
      <c r="C91" s="826"/>
      <c r="D91" s="826"/>
      <c r="E91" s="826"/>
      <c r="F91" s="824"/>
      <c r="G91" s="825"/>
      <c r="H91" s="851"/>
      <c r="I91" s="111"/>
      <c r="J91" s="854"/>
    </row>
    <row r="92" spans="1:10" ht="69.599999999999994" customHeight="1" x14ac:dyDescent="0.25">
      <c r="A92" s="110" t="s">
        <v>32</v>
      </c>
      <c r="B92" s="823" t="s">
        <v>465</v>
      </c>
      <c r="C92" s="823" t="s">
        <v>51</v>
      </c>
      <c r="D92" s="823" t="s">
        <v>51</v>
      </c>
      <c r="E92" s="823" t="s">
        <v>51</v>
      </c>
      <c r="F92" s="824" t="s">
        <v>58</v>
      </c>
      <c r="G92" s="825">
        <f>(3.4*(5.45+4.95+4.4+4.25+2.5+2.6))+(3.4*(4.5+4.25+3.3+1.3+2.7+1.2))-(2.1*2+0.8*2*3+0.9*2+0.6*2*3)</f>
        <v>126.35999999999999</v>
      </c>
      <c r="H92" s="851"/>
      <c r="I92" s="111">
        <f>G92*H92</f>
        <v>0</v>
      </c>
      <c r="J92" s="854"/>
    </row>
    <row r="93" spans="1:10" x14ac:dyDescent="0.25">
      <c r="B93" s="817"/>
      <c r="C93" s="817"/>
      <c r="D93" s="817"/>
      <c r="E93" s="817"/>
      <c r="F93" s="817"/>
      <c r="G93" s="817"/>
      <c r="H93" s="848"/>
      <c r="J93" s="854"/>
    </row>
    <row r="94" spans="1:10" ht="93" customHeight="1" x14ac:dyDescent="0.25">
      <c r="A94" s="110" t="s">
        <v>33</v>
      </c>
      <c r="B94" s="823" t="s">
        <v>116</v>
      </c>
      <c r="C94" s="823" t="s">
        <v>52</v>
      </c>
      <c r="D94" s="823" t="s">
        <v>52</v>
      </c>
      <c r="E94" s="823" t="s">
        <v>52</v>
      </c>
      <c r="F94" s="824" t="s">
        <v>58</v>
      </c>
      <c r="G94" s="825">
        <f>(3.4*(42.04+7.85+20.5+17+17+10.8+47.45+6.85+47.44+10.8+31.25+16.9+18.35+11.01)-(16.5*2+2.1+3.5+6.78+3.1*3+1.75+0.6+1.15*2+2.53*2+5.95*6+3.1+4.7*3)-(2.1*10))+(2*3.4*(5.45+4.95+4.4+4.25+2.5+2.6))+(2*3.4*(4.5+4.25+3.3+1.3+2.7+1.2))-(2*(2.1*2+0.8*2*3+0.9*2+0.6*2*3))</f>
        <v>1152.2460000000001</v>
      </c>
      <c r="H94" s="851"/>
      <c r="I94" s="111">
        <f>G94*H94</f>
        <v>0</v>
      </c>
      <c r="J94" s="854"/>
    </row>
    <row r="95" spans="1:10" x14ac:dyDescent="0.25">
      <c r="A95" s="14"/>
      <c r="B95" s="814"/>
      <c r="C95" s="814"/>
      <c r="D95" s="814"/>
      <c r="E95" s="814"/>
      <c r="F95" s="811"/>
      <c r="G95" s="812"/>
      <c r="H95" s="846"/>
      <c r="I95" s="5"/>
      <c r="J95" s="854"/>
    </row>
    <row r="96" spans="1:10" ht="79.5" customHeight="1" x14ac:dyDescent="0.25">
      <c r="A96" s="14" t="s">
        <v>68</v>
      </c>
      <c r="B96" s="810" t="s">
        <v>117</v>
      </c>
      <c r="C96" s="810" t="s">
        <v>52</v>
      </c>
      <c r="D96" s="810" t="s">
        <v>52</v>
      </c>
      <c r="E96" s="810" t="s">
        <v>52</v>
      </c>
      <c r="F96" s="811" t="s">
        <v>58</v>
      </c>
      <c r="G96" s="812">
        <f>13.65+140.93+0.4*6*10+4.9*2.5</f>
        <v>190.83</v>
      </c>
      <c r="H96" s="846"/>
      <c r="I96" s="5">
        <f>G96*H96</f>
        <v>0</v>
      </c>
      <c r="J96" s="854"/>
    </row>
    <row r="97" spans="1:10" x14ac:dyDescent="0.25">
      <c r="A97" s="14"/>
      <c r="B97" s="814"/>
      <c r="C97" s="814"/>
      <c r="D97" s="814"/>
      <c r="E97" s="814"/>
      <c r="F97" s="821"/>
      <c r="G97" s="812"/>
      <c r="H97" s="846"/>
      <c r="I97" s="5"/>
      <c r="J97" s="854"/>
    </row>
    <row r="98" spans="1:10" ht="66.75" customHeight="1" x14ac:dyDescent="0.25">
      <c r="A98" s="110" t="s">
        <v>69</v>
      </c>
      <c r="B98" s="823" t="s">
        <v>118</v>
      </c>
      <c r="C98" s="823" t="s">
        <v>53</v>
      </c>
      <c r="D98" s="823" t="s">
        <v>53</v>
      </c>
      <c r="E98" s="823" t="s">
        <v>53</v>
      </c>
      <c r="F98" s="824" t="s">
        <v>58</v>
      </c>
      <c r="G98" s="825">
        <f>G123+G125</f>
        <v>313.33</v>
      </c>
      <c r="H98" s="851"/>
      <c r="I98" s="111">
        <f>G98*H98</f>
        <v>0</v>
      </c>
      <c r="J98" s="854"/>
    </row>
    <row r="99" spans="1:10" x14ac:dyDescent="0.25">
      <c r="A99" s="110"/>
      <c r="B99" s="826"/>
      <c r="C99" s="826"/>
      <c r="D99" s="826"/>
      <c r="E99" s="826"/>
      <c r="F99" s="824"/>
      <c r="G99" s="825"/>
      <c r="H99" s="851"/>
      <c r="I99" s="111"/>
      <c r="J99" s="854"/>
    </row>
    <row r="100" spans="1:10" ht="69.75" customHeight="1" x14ac:dyDescent="0.25">
      <c r="A100" s="110" t="s">
        <v>70</v>
      </c>
      <c r="B100" s="823" t="s">
        <v>467</v>
      </c>
      <c r="C100" s="823" t="s">
        <v>53</v>
      </c>
      <c r="D100" s="823" t="s">
        <v>53</v>
      </c>
      <c r="E100" s="823" t="s">
        <v>53</v>
      </c>
      <c r="F100" s="824" t="s">
        <v>58</v>
      </c>
      <c r="G100" s="825">
        <v>140.94</v>
      </c>
      <c r="H100" s="851"/>
      <c r="I100" s="111">
        <f>G100*H100</f>
        <v>0</v>
      </c>
      <c r="J100" s="854"/>
    </row>
    <row r="101" spans="1:10" x14ac:dyDescent="0.25">
      <c r="A101" s="14"/>
      <c r="B101" s="814"/>
      <c r="C101" s="814"/>
      <c r="D101" s="814"/>
      <c r="E101" s="814"/>
      <c r="F101" s="811"/>
      <c r="G101" s="812"/>
      <c r="H101" s="846"/>
      <c r="I101" s="5"/>
      <c r="J101" s="854"/>
    </row>
    <row r="102" spans="1:10" ht="105" customHeight="1" x14ac:dyDescent="0.25">
      <c r="A102" s="14" t="s">
        <v>71</v>
      </c>
      <c r="B102" s="810" t="s">
        <v>126</v>
      </c>
      <c r="C102" s="810" t="s">
        <v>53</v>
      </c>
      <c r="D102" s="810" t="s">
        <v>53</v>
      </c>
      <c r="E102" s="810" t="s">
        <v>53</v>
      </c>
      <c r="F102" s="811" t="s">
        <v>58</v>
      </c>
      <c r="G102" s="812">
        <f>162.38+332.37</f>
        <v>494.75</v>
      </c>
      <c r="H102" s="846"/>
      <c r="I102" s="5">
        <f>G102*H102</f>
        <v>0</v>
      </c>
      <c r="J102" s="854"/>
    </row>
    <row r="103" spans="1:10" x14ac:dyDescent="0.25">
      <c r="A103" s="14"/>
      <c r="B103" s="814"/>
      <c r="C103" s="814"/>
      <c r="D103" s="814"/>
      <c r="E103" s="814"/>
      <c r="F103" s="811"/>
      <c r="G103" s="812"/>
      <c r="H103" s="846"/>
      <c r="I103" s="5"/>
      <c r="J103" s="854"/>
    </row>
    <row r="104" spans="1:10" ht="65.25" customHeight="1" x14ac:dyDescent="0.25">
      <c r="A104" s="15" t="s">
        <v>466</v>
      </c>
      <c r="B104" s="822" t="s">
        <v>119</v>
      </c>
      <c r="C104" s="822" t="s">
        <v>53</v>
      </c>
      <c r="D104" s="822" t="s">
        <v>53</v>
      </c>
      <c r="E104" s="822" t="s">
        <v>53</v>
      </c>
      <c r="F104" s="815" t="s">
        <v>59</v>
      </c>
      <c r="G104" s="816">
        <f>342.57*0.12</f>
        <v>41.108399999999996</v>
      </c>
      <c r="H104" s="847"/>
      <c r="I104" s="6">
        <f>G104*H104</f>
        <v>0</v>
      </c>
      <c r="J104" s="854"/>
    </row>
    <row r="105" spans="1:10" x14ac:dyDescent="0.25">
      <c r="B105" s="817"/>
      <c r="C105" s="817"/>
      <c r="D105" s="817"/>
      <c r="E105" s="817"/>
      <c r="F105" s="817"/>
      <c r="G105" s="817"/>
      <c r="H105" s="848"/>
      <c r="J105" s="854"/>
    </row>
    <row r="106" spans="1:10" x14ac:dyDescent="0.25">
      <c r="B106" s="817"/>
      <c r="C106" s="817"/>
      <c r="D106" s="817"/>
      <c r="E106" s="818"/>
      <c r="F106" s="819" t="s">
        <v>66</v>
      </c>
      <c r="G106" s="817"/>
      <c r="H106" s="849" t="s">
        <v>15</v>
      </c>
      <c r="I106" s="18">
        <f>SUM(I88:I104)</f>
        <v>0</v>
      </c>
      <c r="J106" s="854"/>
    </row>
    <row r="107" spans="1:10" x14ac:dyDescent="0.25">
      <c r="B107" s="817"/>
      <c r="C107" s="817"/>
      <c r="D107" s="817"/>
      <c r="E107" s="818"/>
      <c r="F107" s="819"/>
      <c r="G107" s="817"/>
      <c r="H107" s="849"/>
      <c r="I107" s="18"/>
      <c r="J107" s="854"/>
    </row>
    <row r="108" spans="1:10" x14ac:dyDescent="0.25">
      <c r="B108" s="817"/>
      <c r="C108" s="817"/>
      <c r="D108" s="817"/>
      <c r="E108" s="818"/>
      <c r="F108" s="819"/>
      <c r="G108" s="817"/>
      <c r="H108" s="849"/>
      <c r="I108" s="18"/>
      <c r="J108" s="854"/>
    </row>
    <row r="109" spans="1:10" x14ac:dyDescent="0.25">
      <c r="A109" s="7" t="s">
        <v>72</v>
      </c>
      <c r="B109" s="813"/>
      <c r="C109" s="813"/>
      <c r="D109" s="813"/>
      <c r="E109" s="813"/>
      <c r="F109" s="811"/>
      <c r="G109" s="811"/>
      <c r="H109" s="845"/>
      <c r="I109" s="12"/>
      <c r="J109" s="854"/>
    </row>
    <row r="110" spans="1:10" x14ac:dyDescent="0.25">
      <c r="A110" s="7"/>
      <c r="B110" s="813"/>
      <c r="C110" s="813"/>
      <c r="D110" s="813"/>
      <c r="E110" s="813"/>
      <c r="F110" s="811"/>
      <c r="G110" s="811"/>
      <c r="H110" s="845"/>
      <c r="I110" s="12"/>
      <c r="J110" s="854"/>
    </row>
    <row r="111" spans="1:10" x14ac:dyDescent="0.25">
      <c r="A111" s="13" t="s">
        <v>4</v>
      </c>
      <c r="B111" s="820" t="s">
        <v>5</v>
      </c>
      <c r="C111" s="820"/>
      <c r="D111" s="820"/>
      <c r="E111" s="820"/>
      <c r="F111" s="815" t="s">
        <v>6</v>
      </c>
      <c r="G111" s="815" t="s">
        <v>7</v>
      </c>
      <c r="H111" s="850" t="s">
        <v>9</v>
      </c>
      <c r="I111" s="13" t="s">
        <v>8</v>
      </c>
      <c r="J111" s="854"/>
    </row>
    <row r="112" spans="1:10" x14ac:dyDescent="0.25">
      <c r="A112" s="12"/>
      <c r="B112" s="813"/>
      <c r="C112" s="813"/>
      <c r="D112" s="813"/>
      <c r="E112" s="813"/>
      <c r="F112" s="811"/>
      <c r="G112" s="811"/>
      <c r="H112" s="845"/>
      <c r="I112" s="12"/>
      <c r="J112" s="854"/>
    </row>
    <row r="113" spans="1:10" ht="66.75" customHeight="1" x14ac:dyDescent="0.25">
      <c r="A113" s="15" t="s">
        <v>34</v>
      </c>
      <c r="B113" s="822" t="s">
        <v>123</v>
      </c>
      <c r="C113" s="822" t="s">
        <v>54</v>
      </c>
      <c r="D113" s="822" t="s">
        <v>54</v>
      </c>
      <c r="E113" s="822" t="s">
        <v>54</v>
      </c>
      <c r="F113" s="815" t="s">
        <v>19</v>
      </c>
      <c r="G113" s="816">
        <f>87.7+2</f>
        <v>89.7</v>
      </c>
      <c r="H113" s="847"/>
      <c r="I113" s="6">
        <f>G113*H113</f>
        <v>0</v>
      </c>
      <c r="J113" s="854"/>
    </row>
    <row r="114" spans="1:10" x14ac:dyDescent="0.25">
      <c r="B114" s="817"/>
      <c r="C114" s="817"/>
      <c r="D114" s="817"/>
      <c r="E114" s="817"/>
      <c r="F114" s="817"/>
      <c r="G114" s="817"/>
      <c r="H114" s="848"/>
      <c r="J114" s="854"/>
    </row>
    <row r="115" spans="1:10" x14ac:dyDescent="0.25">
      <c r="B115" s="817"/>
      <c r="C115" s="817"/>
      <c r="D115" s="817"/>
      <c r="E115" s="818"/>
      <c r="F115" s="819" t="s">
        <v>72</v>
      </c>
      <c r="G115" s="817"/>
      <c r="H115" s="849" t="s">
        <v>15</v>
      </c>
      <c r="I115" s="18">
        <f>SUM(I113:I113)</f>
        <v>0</v>
      </c>
      <c r="J115" s="854"/>
    </row>
    <row r="116" spans="1:10" x14ac:dyDescent="0.25">
      <c r="B116" s="817"/>
      <c r="C116" s="817"/>
      <c r="D116" s="817"/>
      <c r="E116" s="817"/>
      <c r="F116" s="817"/>
      <c r="G116" s="817"/>
      <c r="H116" s="848"/>
      <c r="J116" s="854"/>
    </row>
    <row r="117" spans="1:10" x14ac:dyDescent="0.25">
      <c r="B117" s="817"/>
      <c r="C117" s="817"/>
      <c r="D117" s="817"/>
      <c r="E117" s="817"/>
      <c r="F117" s="817"/>
      <c r="G117" s="817"/>
      <c r="H117" s="848"/>
      <c r="J117" s="854"/>
    </row>
    <row r="118" spans="1:10" x14ac:dyDescent="0.25">
      <c r="A118" s="7" t="s">
        <v>73</v>
      </c>
      <c r="B118" s="813"/>
      <c r="C118" s="813"/>
      <c r="D118" s="813"/>
      <c r="E118" s="813"/>
      <c r="F118" s="811"/>
      <c r="G118" s="811"/>
      <c r="H118" s="845"/>
      <c r="I118" s="12"/>
      <c r="J118" s="854"/>
    </row>
    <row r="119" spans="1:10" x14ac:dyDescent="0.25">
      <c r="A119" s="7"/>
      <c r="B119" s="813"/>
      <c r="C119" s="813"/>
      <c r="D119" s="813"/>
      <c r="E119" s="813"/>
      <c r="F119" s="811"/>
      <c r="G119" s="811"/>
      <c r="H119" s="845"/>
      <c r="I119" s="12"/>
      <c r="J119" s="854"/>
    </row>
    <row r="120" spans="1:10" x14ac:dyDescent="0.25">
      <c r="A120" s="13" t="s">
        <v>4</v>
      </c>
      <c r="B120" s="820" t="s">
        <v>5</v>
      </c>
      <c r="C120" s="820"/>
      <c r="D120" s="820"/>
      <c r="E120" s="820"/>
      <c r="F120" s="815" t="s">
        <v>6</v>
      </c>
      <c r="G120" s="815" t="s">
        <v>7</v>
      </c>
      <c r="H120" s="850" t="s">
        <v>9</v>
      </c>
      <c r="I120" s="13" t="s">
        <v>8</v>
      </c>
      <c r="J120" s="854"/>
    </row>
    <row r="121" spans="1:10" x14ac:dyDescent="0.25">
      <c r="A121" s="12"/>
      <c r="B121" s="813"/>
      <c r="C121" s="813"/>
      <c r="D121" s="813"/>
      <c r="E121" s="813"/>
      <c r="F121" s="811"/>
      <c r="G121" s="811"/>
      <c r="H121" s="845"/>
      <c r="I121" s="12"/>
      <c r="J121" s="854"/>
    </row>
    <row r="122" spans="1:10" ht="133.5" customHeight="1" x14ac:dyDescent="0.25">
      <c r="A122" s="14" t="s">
        <v>36</v>
      </c>
      <c r="B122" s="810" t="s">
        <v>426</v>
      </c>
      <c r="C122" s="810" t="s">
        <v>55</v>
      </c>
      <c r="D122" s="810" t="s">
        <v>55</v>
      </c>
      <c r="E122" s="810" t="s">
        <v>55</v>
      </c>
      <c r="F122" s="811" t="s">
        <v>58</v>
      </c>
      <c r="G122" s="812">
        <f>339.33+10.6*1.6+12.1</f>
        <v>368.39</v>
      </c>
      <c r="H122" s="846"/>
      <c r="I122" s="5">
        <f>G122*H122</f>
        <v>0</v>
      </c>
      <c r="J122" s="854"/>
    </row>
    <row r="123" spans="1:10" ht="78" customHeight="1" x14ac:dyDescent="0.25">
      <c r="A123" s="14" t="s">
        <v>37</v>
      </c>
      <c r="B123" s="810" t="s">
        <v>124</v>
      </c>
      <c r="C123" s="810" t="s">
        <v>56</v>
      </c>
      <c r="D123" s="810" t="s">
        <v>56</v>
      </c>
      <c r="E123" s="810" t="s">
        <v>56</v>
      </c>
      <c r="F123" s="821" t="s">
        <v>58</v>
      </c>
      <c r="G123" s="812">
        <v>158.22</v>
      </c>
      <c r="H123" s="846"/>
      <c r="I123" s="5">
        <f>G123*H123</f>
        <v>0</v>
      </c>
      <c r="J123" s="854"/>
    </row>
    <row r="124" spans="1:10" x14ac:dyDescent="0.25">
      <c r="A124" s="14"/>
      <c r="B124" s="814"/>
      <c r="C124" s="814"/>
      <c r="D124" s="814"/>
      <c r="E124" s="814"/>
      <c r="F124" s="821"/>
      <c r="G124" s="812"/>
      <c r="H124" s="846"/>
      <c r="I124" s="5"/>
      <c r="J124" s="854"/>
    </row>
    <row r="125" spans="1:10" ht="67.5" customHeight="1" x14ac:dyDescent="0.25">
      <c r="A125" s="14" t="s">
        <v>38</v>
      </c>
      <c r="B125" s="810" t="s">
        <v>319</v>
      </c>
      <c r="C125" s="810" t="s">
        <v>56</v>
      </c>
      <c r="D125" s="810" t="s">
        <v>56</v>
      </c>
      <c r="E125" s="810" t="s">
        <v>56</v>
      </c>
      <c r="F125" s="821" t="s">
        <v>58</v>
      </c>
      <c r="G125" s="812">
        <f>13.58+66.6+12.07+18.48+14.87+5.12+13.73+3.12+7.54</f>
        <v>155.10999999999999</v>
      </c>
      <c r="H125" s="846"/>
      <c r="I125" s="5">
        <f>G125*H125</f>
        <v>0</v>
      </c>
      <c r="J125" s="854"/>
    </row>
    <row r="126" spans="1:10" x14ac:dyDescent="0.25">
      <c r="B126" s="817"/>
      <c r="C126" s="817"/>
      <c r="D126" s="817"/>
      <c r="E126" s="817"/>
      <c r="F126" s="817"/>
      <c r="G126" s="817"/>
      <c r="H126" s="848"/>
      <c r="J126" s="854"/>
    </row>
    <row r="127" spans="1:10" ht="55.5" customHeight="1" x14ac:dyDescent="0.25">
      <c r="A127" s="14" t="s">
        <v>74</v>
      </c>
      <c r="B127" s="810" t="s">
        <v>427</v>
      </c>
      <c r="C127" s="810"/>
      <c r="D127" s="810"/>
      <c r="E127" s="810"/>
      <c r="F127" s="821" t="s">
        <v>58</v>
      </c>
      <c r="G127" s="812">
        <f>G125*2</f>
        <v>310.21999999999997</v>
      </c>
      <c r="H127" s="846"/>
      <c r="I127" s="5">
        <f>G127*H127</f>
        <v>0</v>
      </c>
      <c r="J127" s="854"/>
    </row>
    <row r="128" spans="1:10" x14ac:dyDescent="0.25">
      <c r="A128" s="14"/>
      <c r="B128" s="814"/>
      <c r="C128" s="814"/>
      <c r="D128" s="814"/>
      <c r="E128" s="814"/>
      <c r="F128" s="821"/>
      <c r="G128" s="812"/>
      <c r="H128" s="846"/>
      <c r="I128" s="5"/>
      <c r="J128" s="854"/>
    </row>
    <row r="129" spans="1:10" ht="54" customHeight="1" x14ac:dyDescent="0.25">
      <c r="A129" s="14" t="s">
        <v>75</v>
      </c>
      <c r="B129" s="810" t="s">
        <v>428</v>
      </c>
      <c r="C129" s="810"/>
      <c r="D129" s="810"/>
      <c r="E129" s="810"/>
      <c r="F129" s="821" t="s">
        <v>58</v>
      </c>
      <c r="G129" s="812">
        <f>G123+G125*2+159.93</f>
        <v>628.36999999999989</v>
      </c>
      <c r="H129" s="846"/>
      <c r="I129" s="5">
        <f>G129*H129</f>
        <v>0</v>
      </c>
      <c r="J129" s="854"/>
    </row>
    <row r="130" spans="1:10" x14ac:dyDescent="0.25">
      <c r="A130" s="14"/>
      <c r="B130" s="814"/>
      <c r="C130" s="814"/>
      <c r="D130" s="814"/>
      <c r="E130" s="814"/>
      <c r="F130" s="821"/>
      <c r="G130" s="812"/>
      <c r="H130" s="846"/>
      <c r="I130" s="5"/>
      <c r="J130" s="854"/>
    </row>
    <row r="131" spans="1:10" ht="42" customHeight="1" x14ac:dyDescent="0.25">
      <c r="A131" s="14" t="s">
        <v>76</v>
      </c>
      <c r="B131" s="729" t="s">
        <v>135</v>
      </c>
      <c r="C131" s="729" t="s">
        <v>133</v>
      </c>
      <c r="D131" s="729" t="s">
        <v>133</v>
      </c>
      <c r="E131" s="729" t="s">
        <v>133</v>
      </c>
      <c r="F131" s="821" t="s">
        <v>58</v>
      </c>
      <c r="G131" s="812">
        <f>G125</f>
        <v>155.10999999999999</v>
      </c>
      <c r="H131" s="846"/>
      <c r="I131" s="5">
        <f>G131*H131</f>
        <v>0</v>
      </c>
      <c r="J131" s="854"/>
    </row>
    <row r="132" spans="1:10" x14ac:dyDescent="0.25">
      <c r="A132" s="14"/>
      <c r="B132" s="713"/>
      <c r="C132" s="713"/>
      <c r="D132" s="713"/>
      <c r="E132" s="713"/>
      <c r="F132" s="821"/>
      <c r="G132" s="812"/>
      <c r="H132" s="846"/>
      <c r="I132" s="5"/>
      <c r="J132" s="854"/>
    </row>
    <row r="133" spans="1:10" ht="107.25" customHeight="1" x14ac:dyDescent="0.25">
      <c r="A133" s="14" t="s">
        <v>77</v>
      </c>
      <c r="B133" s="729" t="s">
        <v>136</v>
      </c>
      <c r="C133" s="729" t="s">
        <v>133</v>
      </c>
      <c r="D133" s="729" t="s">
        <v>133</v>
      </c>
      <c r="E133" s="729" t="s">
        <v>133</v>
      </c>
      <c r="F133" s="821" t="s">
        <v>58</v>
      </c>
      <c r="G133" s="812">
        <f>12.01*6.9</f>
        <v>82.869</v>
      </c>
      <c r="H133" s="846"/>
      <c r="I133" s="5">
        <f>G133*H133</f>
        <v>0</v>
      </c>
      <c r="J133" s="854"/>
    </row>
    <row r="134" spans="1:10" x14ac:dyDescent="0.25">
      <c r="A134" s="14"/>
      <c r="B134" s="814"/>
      <c r="C134" s="814"/>
      <c r="D134" s="814"/>
      <c r="E134" s="814"/>
      <c r="F134" s="821"/>
      <c r="G134" s="812"/>
      <c r="H134" s="846"/>
      <c r="I134" s="5"/>
      <c r="J134" s="854"/>
    </row>
    <row r="135" spans="1:10" ht="27.75" customHeight="1" x14ac:dyDescent="0.25">
      <c r="A135" s="14" t="s">
        <v>78</v>
      </c>
      <c r="B135" s="810" t="s">
        <v>84</v>
      </c>
      <c r="C135" s="810" t="s">
        <v>55</v>
      </c>
      <c r="D135" s="810" t="s">
        <v>55</v>
      </c>
      <c r="E135" s="810" t="s">
        <v>55</v>
      </c>
      <c r="F135" s="821"/>
      <c r="G135" s="812"/>
      <c r="H135" s="846"/>
      <c r="I135" s="5"/>
      <c r="J135" s="854"/>
    </row>
    <row r="136" spans="1:10" x14ac:dyDescent="0.25">
      <c r="A136" s="14"/>
      <c r="B136" s="810"/>
      <c r="C136" s="810"/>
      <c r="D136" s="810"/>
      <c r="E136" s="810"/>
      <c r="F136" s="821"/>
      <c r="G136" s="812"/>
      <c r="H136" s="846"/>
      <c r="I136" s="5"/>
      <c r="J136" s="854"/>
    </row>
    <row r="137" spans="1:10" ht="36.6" customHeight="1" x14ac:dyDescent="0.25">
      <c r="A137" s="14"/>
      <c r="B137" s="810" t="s">
        <v>1777</v>
      </c>
      <c r="C137" s="810"/>
      <c r="D137" s="810"/>
      <c r="E137" s="810"/>
      <c r="F137" s="821" t="s">
        <v>58</v>
      </c>
      <c r="G137" s="812">
        <f>342.57</f>
        <v>342.57</v>
      </c>
      <c r="H137" s="846"/>
      <c r="I137" s="5">
        <f t="shared" ref="I137:I141" si="0">G137*H137</f>
        <v>0</v>
      </c>
      <c r="J137" s="855"/>
    </row>
    <row r="138" spans="1:10" ht="15.6" x14ac:dyDescent="0.25">
      <c r="A138" s="14"/>
      <c r="B138" s="810" t="s">
        <v>131</v>
      </c>
      <c r="C138" s="810"/>
      <c r="D138" s="810"/>
      <c r="E138" s="810"/>
      <c r="F138" s="821" t="s">
        <v>58</v>
      </c>
      <c r="G138" s="812">
        <v>342.57</v>
      </c>
      <c r="H138" s="846"/>
      <c r="I138" s="5">
        <f t="shared" si="0"/>
        <v>0</v>
      </c>
      <c r="J138" s="854"/>
    </row>
    <row r="139" spans="1:10" ht="15.6" x14ac:dyDescent="0.25">
      <c r="A139" s="14"/>
      <c r="B139" s="810" t="s">
        <v>85</v>
      </c>
      <c r="C139" s="810"/>
      <c r="D139" s="810"/>
      <c r="E139" s="810"/>
      <c r="F139" s="821" t="s">
        <v>58</v>
      </c>
      <c r="G139" s="812">
        <v>342.57</v>
      </c>
      <c r="H139" s="846"/>
      <c r="I139" s="5">
        <f t="shared" ref="I139" si="1">G139*H139</f>
        <v>0</v>
      </c>
      <c r="J139" s="854"/>
    </row>
    <row r="140" spans="1:10" ht="36" customHeight="1" x14ac:dyDescent="0.25">
      <c r="A140" s="14"/>
      <c r="B140" s="810" t="s">
        <v>1778</v>
      </c>
      <c r="C140" s="810"/>
      <c r="D140" s="810"/>
      <c r="E140" s="810"/>
      <c r="F140" s="821" t="s">
        <v>58</v>
      </c>
      <c r="G140" s="812">
        <v>342.57</v>
      </c>
      <c r="H140" s="846"/>
      <c r="I140" s="5">
        <f t="shared" si="0"/>
        <v>0</v>
      </c>
      <c r="J140" s="855"/>
    </row>
    <row r="141" spans="1:10" ht="39.6" customHeight="1" x14ac:dyDescent="0.25">
      <c r="A141" s="14"/>
      <c r="B141" s="810" t="s">
        <v>1779</v>
      </c>
      <c r="C141" s="810"/>
      <c r="D141" s="810"/>
      <c r="E141" s="810"/>
      <c r="F141" s="821" t="s">
        <v>58</v>
      </c>
      <c r="G141" s="812">
        <v>342.57</v>
      </c>
      <c r="H141" s="846"/>
      <c r="I141" s="5">
        <f t="shared" si="0"/>
        <v>0</v>
      </c>
      <c r="J141" s="855"/>
    </row>
    <row r="142" spans="1:10" x14ac:dyDescent="0.25">
      <c r="A142" s="14"/>
      <c r="B142" s="827"/>
      <c r="C142" s="827"/>
      <c r="D142" s="827"/>
      <c r="E142" s="827"/>
      <c r="F142" s="821"/>
      <c r="G142" s="812"/>
      <c r="H142" s="846"/>
      <c r="I142" s="5"/>
      <c r="J142" s="854"/>
    </row>
    <row r="143" spans="1:10" ht="55.5" customHeight="1" x14ac:dyDescent="0.25">
      <c r="A143" s="15" t="s">
        <v>132</v>
      </c>
      <c r="B143" s="822" t="s">
        <v>130</v>
      </c>
      <c r="C143" s="822"/>
      <c r="D143" s="822"/>
      <c r="E143" s="822"/>
      <c r="F143" s="815" t="s">
        <v>86</v>
      </c>
      <c r="G143" s="816">
        <v>3</v>
      </c>
      <c r="H143" s="847"/>
      <c r="I143" s="6">
        <f>G143*H143</f>
        <v>0</v>
      </c>
      <c r="J143" s="854"/>
    </row>
    <row r="144" spans="1:10" x14ac:dyDescent="0.25">
      <c r="A144" s="14"/>
      <c r="B144" s="828"/>
      <c r="C144" s="828"/>
      <c r="D144" s="828"/>
      <c r="E144" s="828"/>
      <c r="F144" s="821"/>
      <c r="G144" s="812"/>
      <c r="H144" s="846"/>
      <c r="I144" s="5"/>
      <c r="J144" s="854"/>
    </row>
    <row r="145" spans="1:10" x14ac:dyDescent="0.25">
      <c r="A145" s="19"/>
      <c r="B145" s="829"/>
      <c r="C145" s="829"/>
      <c r="D145" s="829"/>
      <c r="E145" s="830"/>
      <c r="F145" s="831" t="s">
        <v>73</v>
      </c>
      <c r="G145" s="829"/>
      <c r="H145" s="852" t="s">
        <v>15</v>
      </c>
      <c r="I145" s="21">
        <f>SUM(I122:I143)</f>
        <v>0</v>
      </c>
      <c r="J145" s="854"/>
    </row>
    <row r="146" spans="1:10" x14ac:dyDescent="0.25">
      <c r="A146" s="7" t="s">
        <v>82</v>
      </c>
      <c r="B146" s="813"/>
      <c r="C146" s="813"/>
      <c r="D146" s="813"/>
      <c r="E146" s="813"/>
      <c r="F146" s="811"/>
      <c r="G146" s="811"/>
      <c r="H146" s="845"/>
      <c r="I146" s="12"/>
      <c r="J146" s="854"/>
    </row>
    <row r="147" spans="1:10" x14ac:dyDescent="0.25">
      <c r="A147" s="7"/>
      <c r="B147" s="813"/>
      <c r="C147" s="813"/>
      <c r="D147" s="813"/>
      <c r="E147" s="813"/>
      <c r="F147" s="811"/>
      <c r="G147" s="811"/>
      <c r="H147" s="845"/>
      <c r="I147" s="12"/>
      <c r="J147" s="854"/>
    </row>
    <row r="148" spans="1:10" x14ac:dyDescent="0.25">
      <c r="A148" s="13" t="s">
        <v>4</v>
      </c>
      <c r="B148" s="820" t="s">
        <v>5</v>
      </c>
      <c r="C148" s="820"/>
      <c r="D148" s="820"/>
      <c r="E148" s="820"/>
      <c r="F148" s="815" t="s">
        <v>6</v>
      </c>
      <c r="G148" s="815" t="s">
        <v>7</v>
      </c>
      <c r="H148" s="850" t="s">
        <v>9</v>
      </c>
      <c r="I148" s="13" t="s">
        <v>8</v>
      </c>
      <c r="J148" s="854"/>
    </row>
    <row r="149" spans="1:10" x14ac:dyDescent="0.25">
      <c r="A149" s="12"/>
      <c r="B149" s="813"/>
      <c r="C149" s="813"/>
      <c r="D149" s="813"/>
      <c r="E149" s="813"/>
      <c r="F149" s="811"/>
      <c r="G149" s="811"/>
      <c r="H149" s="845"/>
      <c r="I149" s="12"/>
      <c r="J149" s="854"/>
    </row>
    <row r="150" spans="1:10" ht="39.75" customHeight="1" x14ac:dyDescent="0.25">
      <c r="A150" s="14" t="s">
        <v>79</v>
      </c>
      <c r="B150" s="810" t="s">
        <v>134</v>
      </c>
      <c r="C150" s="810" t="s">
        <v>53</v>
      </c>
      <c r="D150" s="810" t="s">
        <v>53</v>
      </c>
      <c r="E150" s="810" t="s">
        <v>53</v>
      </c>
      <c r="F150" s="821" t="s">
        <v>58</v>
      </c>
      <c r="G150" s="812">
        <f>(109.85*2+266.01*2)-(16.5*2+2.1+3.5+6.78+3.1*3+1.75+0.6+1.15*2+2.53*2+5.95*6+3.1+4.7*3)</f>
        <v>634.43000000000006</v>
      </c>
      <c r="H150" s="846"/>
      <c r="I150" s="5">
        <f>G150*H150</f>
        <v>0</v>
      </c>
      <c r="J150" s="854"/>
    </row>
    <row r="151" spans="1:10" x14ac:dyDescent="0.25">
      <c r="B151" s="817"/>
      <c r="C151" s="817"/>
      <c r="D151" s="817"/>
      <c r="E151" s="817"/>
      <c r="F151" s="817"/>
      <c r="G151" s="817"/>
      <c r="H151" s="848"/>
      <c r="J151" s="854"/>
    </row>
    <row r="152" spans="1:10" ht="15.6" x14ac:dyDescent="0.25">
      <c r="A152" s="15" t="s">
        <v>80</v>
      </c>
      <c r="B152" s="822" t="s">
        <v>137</v>
      </c>
      <c r="C152" s="822" t="s">
        <v>57</v>
      </c>
      <c r="D152" s="822" t="s">
        <v>57</v>
      </c>
      <c r="E152" s="822" t="s">
        <v>57</v>
      </c>
      <c r="F152" s="815" t="s">
        <v>58</v>
      </c>
      <c r="G152" s="816">
        <f>G150</f>
        <v>634.43000000000006</v>
      </c>
      <c r="H152" s="847"/>
      <c r="I152" s="6">
        <f>G152*H152</f>
        <v>0</v>
      </c>
      <c r="J152" s="854"/>
    </row>
    <row r="153" spans="1:10" x14ac:dyDescent="0.25">
      <c r="A153" s="14"/>
      <c r="B153" s="814"/>
      <c r="C153" s="814"/>
      <c r="D153" s="814"/>
      <c r="E153" s="814"/>
      <c r="F153" s="821"/>
      <c r="G153" s="812"/>
      <c r="H153" s="846"/>
      <c r="I153" s="5"/>
      <c r="J153" s="854"/>
    </row>
    <row r="154" spans="1:10" x14ac:dyDescent="0.25">
      <c r="A154" s="19"/>
      <c r="B154" s="829"/>
      <c r="C154" s="829"/>
      <c r="D154" s="829"/>
      <c r="E154" s="830"/>
      <c r="F154" s="831" t="s">
        <v>82</v>
      </c>
      <c r="G154" s="829"/>
      <c r="H154" s="852" t="s">
        <v>15</v>
      </c>
      <c r="I154" s="21">
        <f>SUM(I150:I153)</f>
        <v>0</v>
      </c>
      <c r="J154" s="854"/>
    </row>
    <row r="155" spans="1:10" x14ac:dyDescent="0.25">
      <c r="A155" s="19"/>
      <c r="B155" s="829"/>
      <c r="C155" s="829"/>
      <c r="D155" s="829"/>
      <c r="E155" s="830"/>
      <c r="F155" s="831"/>
      <c r="G155" s="829"/>
      <c r="H155" s="852"/>
      <c r="I155" s="21"/>
      <c r="J155" s="854"/>
    </row>
    <row r="156" spans="1:10" x14ac:dyDescent="0.25">
      <c r="A156" s="19"/>
      <c r="B156" s="829"/>
      <c r="C156" s="829"/>
      <c r="D156" s="829"/>
      <c r="E156" s="830"/>
      <c r="F156" s="831"/>
      <c r="G156" s="829"/>
      <c r="H156" s="852"/>
      <c r="I156" s="21"/>
      <c r="J156" s="854"/>
    </row>
    <row r="157" spans="1:10" x14ac:dyDescent="0.25">
      <c r="A157" s="7" t="s">
        <v>138</v>
      </c>
      <c r="B157" s="813"/>
      <c r="C157" s="813"/>
      <c r="D157" s="813"/>
      <c r="E157" s="813"/>
      <c r="F157" s="811"/>
      <c r="G157" s="811"/>
      <c r="H157" s="845"/>
      <c r="I157" s="12"/>
      <c r="J157" s="854"/>
    </row>
    <row r="158" spans="1:10" x14ac:dyDescent="0.25">
      <c r="A158" s="7"/>
      <c r="B158" s="813"/>
      <c r="C158" s="813"/>
      <c r="D158" s="813"/>
      <c r="E158" s="813"/>
      <c r="F158" s="811"/>
      <c r="G158" s="811"/>
      <c r="H158" s="845"/>
      <c r="I158" s="12"/>
      <c r="J158" s="854"/>
    </row>
    <row r="159" spans="1:10" x14ac:dyDescent="0.25">
      <c r="A159" s="13" t="s">
        <v>4</v>
      </c>
      <c r="B159" s="820" t="s">
        <v>5</v>
      </c>
      <c r="C159" s="820"/>
      <c r="D159" s="820"/>
      <c r="E159" s="820"/>
      <c r="F159" s="815" t="s">
        <v>6</v>
      </c>
      <c r="G159" s="815" t="s">
        <v>7</v>
      </c>
      <c r="H159" s="850" t="s">
        <v>9</v>
      </c>
      <c r="I159" s="13" t="s">
        <v>8</v>
      </c>
      <c r="J159" s="854"/>
    </row>
    <row r="160" spans="1:10" x14ac:dyDescent="0.25">
      <c r="A160" s="28"/>
      <c r="B160" s="832"/>
      <c r="C160" s="832"/>
      <c r="D160" s="832"/>
      <c r="E160" s="832"/>
      <c r="F160" s="833"/>
      <c r="G160" s="833"/>
      <c r="H160" s="853"/>
      <c r="I160" s="28"/>
      <c r="J160" s="854"/>
    </row>
    <row r="161" spans="1:10" ht="69" customHeight="1" x14ac:dyDescent="0.25">
      <c r="A161" s="14" t="s">
        <v>81</v>
      </c>
      <c r="B161" s="810" t="s">
        <v>139</v>
      </c>
      <c r="C161" s="810" t="s">
        <v>53</v>
      </c>
      <c r="D161" s="810" t="s">
        <v>53</v>
      </c>
      <c r="E161" s="810" t="s">
        <v>53</v>
      </c>
      <c r="F161" s="821" t="s">
        <v>58</v>
      </c>
      <c r="G161" s="812">
        <f>G94</f>
        <v>1152.2460000000001</v>
      </c>
      <c r="H161" s="846"/>
      <c r="I161" s="5">
        <f>G161*H161</f>
        <v>0</v>
      </c>
      <c r="J161" s="854"/>
    </row>
    <row r="162" spans="1:10" x14ac:dyDescent="0.25">
      <c r="A162" s="14"/>
      <c r="B162" s="814"/>
      <c r="C162" s="814"/>
      <c r="D162" s="814"/>
      <c r="E162" s="814"/>
      <c r="F162" s="821"/>
      <c r="G162" s="812"/>
      <c r="H162" s="846"/>
      <c r="I162" s="5"/>
      <c r="J162" s="854"/>
    </row>
    <row r="163" spans="1:10" ht="71.25" customHeight="1" x14ac:dyDescent="0.25">
      <c r="A163" s="15" t="s">
        <v>464</v>
      </c>
      <c r="B163" s="822" t="s">
        <v>140</v>
      </c>
      <c r="C163" s="822" t="s">
        <v>53</v>
      </c>
      <c r="D163" s="822" t="s">
        <v>53</v>
      </c>
      <c r="E163" s="822" t="s">
        <v>53</v>
      </c>
      <c r="F163" s="815" t="s">
        <v>58</v>
      </c>
      <c r="G163" s="816">
        <f>G96*2</f>
        <v>381.66</v>
      </c>
      <c r="H163" s="847"/>
      <c r="I163" s="6">
        <f>G163*H163</f>
        <v>0</v>
      </c>
      <c r="J163" s="854"/>
    </row>
    <row r="164" spans="1:10" x14ac:dyDescent="0.25">
      <c r="A164" s="14"/>
      <c r="B164" s="814"/>
      <c r="C164" s="814"/>
      <c r="D164" s="814"/>
      <c r="E164" s="814"/>
      <c r="F164" s="821"/>
      <c r="G164" s="812"/>
      <c r="H164" s="846"/>
      <c r="I164" s="5"/>
      <c r="J164" s="854"/>
    </row>
    <row r="165" spans="1:10" x14ac:dyDescent="0.25">
      <c r="A165" s="19"/>
      <c r="B165" s="829"/>
      <c r="C165" s="829"/>
      <c r="D165" s="829"/>
      <c r="E165" s="830"/>
      <c r="F165" s="834" t="s">
        <v>138</v>
      </c>
      <c r="G165" s="829"/>
      <c r="H165" s="852" t="s">
        <v>15</v>
      </c>
      <c r="I165" s="21">
        <f>SUM(I161:I163)</f>
        <v>0</v>
      </c>
      <c r="J165" s="854"/>
    </row>
    <row r="166" spans="1:10" x14ac:dyDescent="0.25">
      <c r="A166" s="19"/>
      <c r="B166" s="829"/>
      <c r="C166" s="829"/>
      <c r="D166" s="829"/>
      <c r="E166" s="830"/>
      <c r="F166" s="834"/>
      <c r="G166" s="829"/>
      <c r="H166" s="852"/>
      <c r="I166" s="21"/>
      <c r="J166" s="854"/>
    </row>
    <row r="167" spans="1:10" x14ac:dyDescent="0.25">
      <c r="A167" s="7" t="s">
        <v>141</v>
      </c>
      <c r="B167" s="813"/>
      <c r="C167" s="813"/>
      <c r="D167" s="813"/>
      <c r="E167" s="813"/>
      <c r="F167" s="811"/>
      <c r="G167" s="811"/>
      <c r="H167" s="845"/>
      <c r="I167" s="12"/>
      <c r="J167" s="854"/>
    </row>
    <row r="168" spans="1:10" x14ac:dyDescent="0.25">
      <c r="A168" s="7"/>
      <c r="B168" s="813"/>
      <c r="C168" s="813"/>
      <c r="D168" s="813"/>
      <c r="E168" s="813"/>
      <c r="F168" s="811"/>
      <c r="G168" s="811"/>
      <c r="H168" s="845"/>
      <c r="I168" s="12"/>
      <c r="J168" s="854"/>
    </row>
    <row r="169" spans="1:10" x14ac:dyDescent="0.25">
      <c r="A169" s="13" t="s">
        <v>4</v>
      </c>
      <c r="B169" s="820" t="s">
        <v>5</v>
      </c>
      <c r="C169" s="820"/>
      <c r="D169" s="820"/>
      <c r="E169" s="820"/>
      <c r="F169" s="815" t="s">
        <v>6</v>
      </c>
      <c r="G169" s="815" t="s">
        <v>7</v>
      </c>
      <c r="H169" s="850" t="s">
        <v>9</v>
      </c>
      <c r="I169" s="13" t="s">
        <v>8</v>
      </c>
      <c r="J169" s="854"/>
    </row>
    <row r="170" spans="1:10" x14ac:dyDescent="0.25">
      <c r="A170" s="28"/>
      <c r="B170" s="832"/>
      <c r="C170" s="832"/>
      <c r="D170" s="832"/>
      <c r="E170" s="832"/>
      <c r="F170" s="833"/>
      <c r="G170" s="833"/>
      <c r="H170" s="853"/>
      <c r="I170" s="28"/>
      <c r="J170" s="854"/>
    </row>
    <row r="171" spans="1:10" ht="107.25" customHeight="1" x14ac:dyDescent="0.25">
      <c r="A171" s="15" t="s">
        <v>87</v>
      </c>
      <c r="B171" s="728" t="s">
        <v>1780</v>
      </c>
      <c r="C171" s="728" t="s">
        <v>143</v>
      </c>
      <c r="D171" s="728" t="s">
        <v>143</v>
      </c>
      <c r="E171" s="728" t="s">
        <v>143</v>
      </c>
      <c r="F171" s="815" t="s">
        <v>58</v>
      </c>
      <c r="G171" s="816">
        <f>24.92+25.5+18.05*2+27.62+6.37+4.66+5.21+13.74+G123</f>
        <v>302.34000000000003</v>
      </c>
      <c r="H171" s="847"/>
      <c r="I171" s="6">
        <f>G171*H171</f>
        <v>0</v>
      </c>
      <c r="J171" s="855"/>
    </row>
    <row r="172" spans="1:10" x14ac:dyDescent="0.25">
      <c r="A172" s="14"/>
      <c r="B172" s="814"/>
      <c r="C172" s="814"/>
      <c r="D172" s="814"/>
      <c r="E172" s="814"/>
      <c r="F172" s="821"/>
      <c r="G172" s="812"/>
      <c r="H172" s="846"/>
      <c r="I172" s="5"/>
      <c r="J172" s="854"/>
    </row>
    <row r="173" spans="1:10" x14ac:dyDescent="0.25">
      <c r="A173" s="19"/>
      <c r="B173" s="829"/>
      <c r="C173" s="829"/>
      <c r="D173" s="829"/>
      <c r="E173" s="830"/>
      <c r="F173" s="834" t="s">
        <v>141</v>
      </c>
      <c r="G173" s="829"/>
      <c r="H173" s="852" t="s">
        <v>15</v>
      </c>
      <c r="I173" s="21">
        <f>SUM(I171:I171)</f>
        <v>0</v>
      </c>
      <c r="J173" s="854"/>
    </row>
    <row r="174" spans="1:10" x14ac:dyDescent="0.25">
      <c r="A174" s="19"/>
      <c r="B174" s="829"/>
      <c r="C174" s="829"/>
      <c r="D174" s="829"/>
      <c r="E174" s="830"/>
      <c r="F174" s="834"/>
      <c r="G174" s="829"/>
      <c r="H174" s="852"/>
      <c r="I174" s="21"/>
      <c r="J174" s="854"/>
    </row>
    <row r="175" spans="1:10" x14ac:dyDescent="0.25">
      <c r="A175" s="19"/>
      <c r="B175" s="829"/>
      <c r="C175" s="829"/>
      <c r="D175" s="829"/>
      <c r="E175" s="830"/>
      <c r="F175" s="834"/>
      <c r="G175" s="829"/>
      <c r="H175" s="852"/>
      <c r="I175" s="21"/>
      <c r="J175" s="854"/>
    </row>
    <row r="176" spans="1:10" x14ac:dyDescent="0.25">
      <c r="A176" s="7" t="s">
        <v>144</v>
      </c>
      <c r="B176" s="813"/>
      <c r="C176" s="813"/>
      <c r="D176" s="813"/>
      <c r="E176" s="813"/>
      <c r="F176" s="811"/>
      <c r="G176" s="811"/>
      <c r="H176" s="845"/>
      <c r="I176" s="12"/>
      <c r="J176" s="854"/>
    </row>
    <row r="177" spans="1:10" x14ac:dyDescent="0.25">
      <c r="A177" s="7"/>
      <c r="B177" s="813"/>
      <c r="C177" s="813"/>
      <c r="D177" s="813"/>
      <c r="E177" s="813"/>
      <c r="F177" s="811"/>
      <c r="G177" s="811"/>
      <c r="H177" s="845"/>
      <c r="I177" s="12"/>
      <c r="J177" s="854"/>
    </row>
    <row r="178" spans="1:10" x14ac:dyDescent="0.25">
      <c r="A178" s="13" t="s">
        <v>4</v>
      </c>
      <c r="B178" s="820" t="s">
        <v>5</v>
      </c>
      <c r="C178" s="820"/>
      <c r="D178" s="820"/>
      <c r="E178" s="820"/>
      <c r="F178" s="815" t="s">
        <v>6</v>
      </c>
      <c r="G178" s="815" t="s">
        <v>7</v>
      </c>
      <c r="H178" s="850" t="s">
        <v>9</v>
      </c>
      <c r="I178" s="13" t="s">
        <v>8</v>
      </c>
      <c r="J178" s="854"/>
    </row>
    <row r="179" spans="1:10" x14ac:dyDescent="0.25">
      <c r="A179" s="28"/>
      <c r="B179" s="832"/>
      <c r="C179" s="832"/>
      <c r="D179" s="832"/>
      <c r="E179" s="832"/>
      <c r="F179" s="833"/>
      <c r="G179" s="833"/>
      <c r="H179" s="853"/>
      <c r="I179" s="28"/>
      <c r="J179" s="854"/>
    </row>
    <row r="180" spans="1:10" ht="81" customHeight="1" x14ac:dyDescent="0.25">
      <c r="A180" s="14" t="s">
        <v>145</v>
      </c>
      <c r="B180" s="729" t="s">
        <v>152</v>
      </c>
      <c r="C180" s="729" t="s">
        <v>147</v>
      </c>
      <c r="D180" s="729" t="s">
        <v>147</v>
      </c>
      <c r="E180" s="729" t="s">
        <v>147</v>
      </c>
      <c r="F180" s="714" t="s">
        <v>142</v>
      </c>
      <c r="G180" s="715">
        <f>25.5+18.05+5.21+4.66+12.07*2+13.58+66.6+18.48+14.87+5.12+3.12+7.54</f>
        <v>206.87</v>
      </c>
      <c r="H180" s="716"/>
      <c r="I180" s="33">
        <f>G180*H180</f>
        <v>0</v>
      </c>
      <c r="J180" s="856" t="s">
        <v>1781</v>
      </c>
    </row>
    <row r="181" spans="1:10" x14ac:dyDescent="0.25">
      <c r="A181" s="14"/>
      <c r="B181" s="31"/>
      <c r="C181" s="32"/>
      <c r="D181" s="32"/>
      <c r="E181" s="32"/>
      <c r="F181" s="714"/>
      <c r="G181" s="715"/>
      <c r="H181" s="716"/>
      <c r="I181" s="33"/>
      <c r="J181" s="854"/>
    </row>
    <row r="182" spans="1:10" ht="94.5" customHeight="1" x14ac:dyDescent="0.25">
      <c r="A182" s="14" t="s">
        <v>146</v>
      </c>
      <c r="B182" s="729" t="s">
        <v>151</v>
      </c>
      <c r="C182" s="729" t="s">
        <v>148</v>
      </c>
      <c r="D182" s="729" t="s">
        <v>148</v>
      </c>
      <c r="E182" s="729" t="s">
        <v>148</v>
      </c>
      <c r="F182" s="714" t="s">
        <v>142</v>
      </c>
      <c r="G182" s="715">
        <f>2*(7.5+11+4.03*2+9.35+4.7+8.64)*0.75</f>
        <v>73.875000000000014</v>
      </c>
      <c r="H182" s="716"/>
      <c r="I182" s="33">
        <f>G182*H182</f>
        <v>0</v>
      </c>
      <c r="J182" s="856" t="s">
        <v>1781</v>
      </c>
    </row>
    <row r="183" spans="1:10" x14ac:dyDescent="0.25">
      <c r="A183" s="14"/>
      <c r="B183" s="713"/>
      <c r="C183" s="713"/>
      <c r="D183" s="713"/>
      <c r="E183" s="713"/>
      <c r="F183" s="714"/>
      <c r="G183" s="715"/>
      <c r="H183" s="716"/>
      <c r="I183" s="33"/>
      <c r="J183" s="854"/>
    </row>
    <row r="184" spans="1:10" ht="81" customHeight="1" x14ac:dyDescent="0.25">
      <c r="A184" s="15" t="s">
        <v>149</v>
      </c>
      <c r="B184" s="728" t="s">
        <v>153</v>
      </c>
      <c r="C184" s="728" t="s">
        <v>150</v>
      </c>
      <c r="D184" s="728" t="s">
        <v>150</v>
      </c>
      <c r="E184" s="728" t="s">
        <v>150</v>
      </c>
      <c r="F184" s="815" t="s">
        <v>19</v>
      </c>
      <c r="G184" s="35">
        <f>25.5+18.05+12.98+8.7+18.35+14.75+35.85+4.5+5.3+16.2</f>
        <v>160.18</v>
      </c>
      <c r="H184" s="847"/>
      <c r="I184" s="6">
        <f>G184*H184</f>
        <v>0</v>
      </c>
      <c r="J184" s="856" t="s">
        <v>1781</v>
      </c>
    </row>
    <row r="185" spans="1:10" x14ac:dyDescent="0.25">
      <c r="A185" s="14"/>
      <c r="B185" s="814"/>
      <c r="C185" s="814"/>
      <c r="D185" s="814"/>
      <c r="E185" s="814"/>
      <c r="F185" s="821"/>
      <c r="G185" s="812"/>
      <c r="H185" s="846"/>
      <c r="I185" s="5"/>
      <c r="J185" s="854"/>
    </row>
    <row r="186" spans="1:10" x14ac:dyDescent="0.25">
      <c r="A186" s="19"/>
      <c r="B186" s="829"/>
      <c r="C186" s="829"/>
      <c r="D186" s="829"/>
      <c r="E186" s="830"/>
      <c r="F186" s="834" t="s">
        <v>144</v>
      </c>
      <c r="G186" s="829"/>
      <c r="H186" s="852" t="s">
        <v>15</v>
      </c>
      <c r="I186" s="21">
        <f>SUM(I180:I184)</f>
        <v>0</v>
      </c>
      <c r="J186" s="854"/>
    </row>
    <row r="187" spans="1:10" x14ac:dyDescent="0.25">
      <c r="A187" s="19"/>
      <c r="B187" s="829"/>
      <c r="C187" s="829"/>
      <c r="D187" s="829"/>
      <c r="E187" s="830"/>
      <c r="F187" s="835"/>
      <c r="G187" s="829"/>
      <c r="H187" s="852"/>
      <c r="I187" s="21"/>
      <c r="J187" s="854"/>
    </row>
    <row r="188" spans="1:10" x14ac:dyDescent="0.25">
      <c r="A188" s="7" t="s">
        <v>154</v>
      </c>
      <c r="B188" s="813"/>
      <c r="C188" s="813"/>
      <c r="D188" s="813"/>
      <c r="E188" s="813"/>
      <c r="F188" s="811"/>
      <c r="G188" s="811"/>
      <c r="H188" s="845"/>
      <c r="I188" s="12"/>
      <c r="J188" s="854"/>
    </row>
    <row r="189" spans="1:10" x14ac:dyDescent="0.25">
      <c r="A189" s="7"/>
      <c r="B189" s="813"/>
      <c r="C189" s="813"/>
      <c r="D189" s="813"/>
      <c r="E189" s="813"/>
      <c r="F189" s="811"/>
      <c r="G189" s="811"/>
      <c r="H189" s="845"/>
      <c r="I189" s="12"/>
      <c r="J189" s="854"/>
    </row>
    <row r="190" spans="1:10" x14ac:dyDescent="0.25">
      <c r="A190" s="13" t="s">
        <v>4</v>
      </c>
      <c r="B190" s="820" t="s">
        <v>5</v>
      </c>
      <c r="C190" s="820"/>
      <c r="D190" s="820"/>
      <c r="E190" s="820"/>
      <c r="F190" s="815" t="s">
        <v>6</v>
      </c>
      <c r="G190" s="815" t="s">
        <v>7</v>
      </c>
      <c r="H190" s="850" t="s">
        <v>9</v>
      </c>
      <c r="I190" s="13" t="s">
        <v>8</v>
      </c>
      <c r="J190" s="854"/>
    </row>
    <row r="191" spans="1:10" x14ac:dyDescent="0.25">
      <c r="A191" s="28"/>
      <c r="B191" s="832"/>
      <c r="C191" s="832"/>
      <c r="D191" s="832"/>
      <c r="E191" s="832"/>
      <c r="F191" s="833"/>
      <c r="G191" s="833"/>
      <c r="H191" s="853"/>
      <c r="I191" s="28"/>
      <c r="J191" s="854"/>
    </row>
    <row r="192" spans="1:10" ht="307.2" customHeight="1" x14ac:dyDescent="0.25">
      <c r="A192" s="14" t="s">
        <v>155</v>
      </c>
      <c r="B192" s="836" t="s">
        <v>1782</v>
      </c>
      <c r="C192" s="836"/>
      <c r="D192" s="836"/>
      <c r="E192" s="836"/>
      <c r="F192" s="721" t="s">
        <v>142</v>
      </c>
      <c r="G192" s="722">
        <f>141</f>
        <v>141</v>
      </c>
      <c r="H192" s="723"/>
      <c r="I192" s="724">
        <f>G192*H192</f>
        <v>0</v>
      </c>
      <c r="J192" s="857"/>
    </row>
    <row r="193" spans="1:10" ht="409.2" customHeight="1" x14ac:dyDescent="0.25">
      <c r="A193" s="14"/>
      <c r="B193" s="836" t="s">
        <v>1783</v>
      </c>
      <c r="C193" s="836"/>
      <c r="D193" s="836"/>
      <c r="E193" s="836"/>
      <c r="F193" s="721"/>
      <c r="G193" s="722"/>
      <c r="H193" s="723"/>
      <c r="I193" s="724"/>
      <c r="J193" s="857"/>
    </row>
    <row r="194" spans="1:10" x14ac:dyDescent="0.25">
      <c r="A194" s="14"/>
      <c r="B194" s="837"/>
      <c r="C194" s="837"/>
      <c r="D194" s="837"/>
      <c r="E194" s="837"/>
      <c r="F194" s="714"/>
      <c r="G194" s="715"/>
      <c r="H194" s="716"/>
      <c r="I194" s="33"/>
      <c r="J194" s="854"/>
    </row>
    <row r="195" spans="1:10" ht="253.2" customHeight="1" x14ac:dyDescent="0.25">
      <c r="A195" s="14" t="s">
        <v>156</v>
      </c>
      <c r="B195" s="836" t="s">
        <v>1784</v>
      </c>
      <c r="C195" s="836"/>
      <c r="D195" s="836"/>
      <c r="E195" s="836"/>
      <c r="F195" s="714" t="s">
        <v>19</v>
      </c>
      <c r="G195" s="715">
        <f>55.1-1.2-3*2+1.6*2</f>
        <v>51.1</v>
      </c>
      <c r="H195" s="716"/>
      <c r="I195" s="33">
        <f>G195*H195</f>
        <v>0</v>
      </c>
      <c r="J195" s="857"/>
    </row>
    <row r="196" spans="1:10" x14ac:dyDescent="0.25">
      <c r="A196" s="14"/>
      <c r="B196" s="837"/>
      <c r="C196" s="837"/>
      <c r="D196" s="837"/>
      <c r="E196" s="837"/>
      <c r="F196" s="714"/>
      <c r="G196" s="715"/>
      <c r="H196" s="716"/>
      <c r="I196" s="33"/>
      <c r="J196" s="857"/>
    </row>
    <row r="197" spans="1:10" ht="409.5" customHeight="1" x14ac:dyDescent="0.25">
      <c r="A197" s="14" t="s">
        <v>429</v>
      </c>
      <c r="B197" s="836" t="s">
        <v>1785</v>
      </c>
      <c r="C197" s="836"/>
      <c r="D197" s="836"/>
      <c r="E197" s="836"/>
      <c r="F197" s="721" t="s">
        <v>142</v>
      </c>
      <c r="G197" s="722">
        <v>273.62</v>
      </c>
      <c r="H197" s="723"/>
      <c r="I197" s="724">
        <f>G197*H197</f>
        <v>0</v>
      </c>
      <c r="J197" s="857"/>
    </row>
    <row r="198" spans="1:10" ht="250.5" customHeight="1" x14ac:dyDescent="0.25">
      <c r="A198" s="14"/>
      <c r="B198" s="836" t="s">
        <v>1786</v>
      </c>
      <c r="C198" s="836"/>
      <c r="D198" s="836"/>
      <c r="E198" s="836"/>
      <c r="F198" s="721"/>
      <c r="G198" s="722"/>
      <c r="H198" s="723"/>
      <c r="I198" s="724"/>
      <c r="J198" s="857"/>
    </row>
    <row r="199" spans="1:10" x14ac:dyDescent="0.25">
      <c r="A199" s="14"/>
      <c r="B199" s="814"/>
      <c r="C199" s="814"/>
      <c r="D199" s="814"/>
      <c r="E199" s="814"/>
      <c r="F199" s="821"/>
      <c r="G199" s="812"/>
      <c r="H199" s="846"/>
      <c r="I199" s="5"/>
      <c r="J199" s="854"/>
    </row>
    <row r="200" spans="1:10" ht="243.6" customHeight="1" x14ac:dyDescent="0.25">
      <c r="A200" s="15" t="s">
        <v>430</v>
      </c>
      <c r="B200" s="838" t="s">
        <v>1787</v>
      </c>
      <c r="C200" s="838"/>
      <c r="D200" s="838"/>
      <c r="E200" s="838"/>
      <c r="F200" s="815" t="s">
        <v>19</v>
      </c>
      <c r="G200" s="816">
        <f>18.34+62.98+18</f>
        <v>99.32</v>
      </c>
      <c r="H200" s="847"/>
      <c r="I200" s="6">
        <f>G200*H200</f>
        <v>0</v>
      </c>
      <c r="J200" s="855"/>
    </row>
    <row r="201" spans="1:10" x14ac:dyDescent="0.25">
      <c r="A201" s="14"/>
      <c r="B201" s="814"/>
      <c r="C201" s="814"/>
      <c r="D201" s="814"/>
      <c r="E201" s="814"/>
      <c r="F201" s="821"/>
      <c r="G201" s="812"/>
      <c r="H201" s="846"/>
      <c r="I201" s="5"/>
      <c r="J201" s="854"/>
    </row>
    <row r="202" spans="1:10" x14ac:dyDescent="0.25">
      <c r="A202" s="19"/>
      <c r="B202" s="829"/>
      <c r="C202" s="829"/>
      <c r="D202" s="829"/>
      <c r="E202" s="830"/>
      <c r="F202" s="834" t="s">
        <v>154</v>
      </c>
      <c r="G202" s="829"/>
      <c r="H202" s="852" t="s">
        <v>15</v>
      </c>
      <c r="I202" s="21">
        <f>SUM(I192:I200)</f>
        <v>0</v>
      </c>
      <c r="J202" s="854"/>
    </row>
    <row r="203" spans="1:10" x14ac:dyDescent="0.25">
      <c r="A203" s="19"/>
      <c r="B203" s="829"/>
      <c r="C203" s="829"/>
      <c r="D203" s="829"/>
      <c r="E203" s="830"/>
      <c r="F203" s="834"/>
      <c r="G203" s="829"/>
      <c r="H203" s="852"/>
      <c r="I203" s="21"/>
      <c r="J203" s="854"/>
    </row>
    <row r="204" spans="1:10" x14ac:dyDescent="0.25">
      <c r="A204" s="19"/>
      <c r="B204" s="829"/>
      <c r="C204" s="829"/>
      <c r="D204" s="829"/>
      <c r="E204" s="830"/>
      <c r="F204" s="834"/>
      <c r="G204" s="829"/>
      <c r="H204" s="852"/>
      <c r="I204" s="21"/>
      <c r="J204" s="854"/>
    </row>
    <row r="205" spans="1:10" x14ac:dyDescent="0.25">
      <c r="A205" s="7" t="s">
        <v>431</v>
      </c>
      <c r="B205" s="813"/>
      <c r="C205" s="813"/>
      <c r="D205" s="813"/>
      <c r="E205" s="813"/>
      <c r="F205" s="811"/>
      <c r="G205" s="811"/>
      <c r="H205" s="845"/>
      <c r="I205" s="12"/>
      <c r="J205" s="854"/>
    </row>
    <row r="206" spans="1:10" x14ac:dyDescent="0.25">
      <c r="A206" s="7"/>
      <c r="B206" s="813"/>
      <c r="C206" s="813"/>
      <c r="D206" s="813"/>
      <c r="E206" s="813"/>
      <c r="F206" s="811"/>
      <c r="G206" s="811"/>
      <c r="H206" s="845"/>
      <c r="I206" s="12"/>
      <c r="J206" s="854"/>
    </row>
    <row r="207" spans="1:10" x14ac:dyDescent="0.25">
      <c r="A207" s="13" t="s">
        <v>4</v>
      </c>
      <c r="B207" s="820" t="s">
        <v>5</v>
      </c>
      <c r="C207" s="820"/>
      <c r="D207" s="820"/>
      <c r="E207" s="820"/>
      <c r="F207" s="815" t="s">
        <v>6</v>
      </c>
      <c r="G207" s="815" t="s">
        <v>7</v>
      </c>
      <c r="H207" s="850" t="s">
        <v>9</v>
      </c>
      <c r="I207" s="13" t="s">
        <v>8</v>
      </c>
      <c r="J207" s="854"/>
    </row>
    <row r="208" spans="1:10" x14ac:dyDescent="0.25">
      <c r="A208" s="28"/>
      <c r="B208" s="832"/>
      <c r="C208" s="832"/>
      <c r="D208" s="832"/>
      <c r="E208" s="832"/>
      <c r="F208" s="833"/>
      <c r="G208" s="833"/>
      <c r="H208" s="853"/>
      <c r="I208" s="28"/>
      <c r="J208" s="854"/>
    </row>
    <row r="209" spans="1:10" ht="258" customHeight="1" x14ac:dyDescent="0.25">
      <c r="A209" s="14" t="s">
        <v>158</v>
      </c>
      <c r="B209" s="839" t="s">
        <v>162</v>
      </c>
      <c r="C209" s="839"/>
      <c r="D209" s="839"/>
      <c r="E209" s="839"/>
      <c r="F209" s="714" t="s">
        <v>86</v>
      </c>
      <c r="G209" s="715">
        <v>1</v>
      </c>
      <c r="H209" s="716"/>
      <c r="I209" s="112">
        <f>G209*H209</f>
        <v>0</v>
      </c>
      <c r="J209" s="856" t="s">
        <v>1781</v>
      </c>
    </row>
    <row r="210" spans="1:10" x14ac:dyDescent="0.25">
      <c r="A210" s="19"/>
      <c r="B210" s="829"/>
      <c r="C210" s="829"/>
      <c r="D210" s="829"/>
      <c r="E210" s="830"/>
      <c r="F210" s="834"/>
      <c r="G210" s="829"/>
      <c r="H210" s="852"/>
      <c r="I210" s="21"/>
      <c r="J210" s="854"/>
    </row>
    <row r="211" spans="1:10" ht="201" customHeight="1" x14ac:dyDescent="0.25">
      <c r="A211" s="14" t="s">
        <v>159</v>
      </c>
      <c r="B211" s="839" t="s">
        <v>444</v>
      </c>
      <c r="C211" s="839"/>
      <c r="D211" s="839"/>
      <c r="E211" s="839"/>
      <c r="F211" s="714" t="s">
        <v>86</v>
      </c>
      <c r="G211" s="715">
        <v>2</v>
      </c>
      <c r="H211" s="716"/>
      <c r="I211" s="112">
        <f>G211*H211</f>
        <v>0</v>
      </c>
      <c r="J211" s="856" t="s">
        <v>1781</v>
      </c>
    </row>
    <row r="212" spans="1:10" x14ac:dyDescent="0.25">
      <c r="A212" s="19"/>
      <c r="B212" s="829"/>
      <c r="C212" s="829"/>
      <c r="D212" s="829"/>
      <c r="E212" s="830"/>
      <c r="F212" s="834"/>
      <c r="G212" s="829"/>
      <c r="H212" s="852"/>
      <c r="I212" s="21"/>
      <c r="J212" s="854"/>
    </row>
    <row r="213" spans="1:10" ht="204" customHeight="1" x14ac:dyDescent="0.25">
      <c r="A213" s="14" t="s">
        <v>160</v>
      </c>
      <c r="B213" s="839" t="s">
        <v>445</v>
      </c>
      <c r="C213" s="839"/>
      <c r="D213" s="839"/>
      <c r="E213" s="839"/>
      <c r="F213" s="714" t="s">
        <v>86</v>
      </c>
      <c r="G213" s="715">
        <v>1</v>
      </c>
      <c r="H213" s="716"/>
      <c r="I213" s="112">
        <f>G213*H213</f>
        <v>0</v>
      </c>
      <c r="J213" s="856" t="s">
        <v>1781</v>
      </c>
    </row>
    <row r="214" spans="1:10" x14ac:dyDescent="0.25">
      <c r="A214" s="19"/>
      <c r="B214" s="829"/>
      <c r="C214" s="829"/>
      <c r="D214" s="829"/>
      <c r="E214" s="830"/>
      <c r="F214" s="834"/>
      <c r="G214" s="829"/>
      <c r="H214" s="852"/>
      <c r="I214" s="21"/>
      <c r="J214" s="854"/>
    </row>
    <row r="215" spans="1:10" ht="210" customHeight="1" x14ac:dyDescent="0.25">
      <c r="A215" s="14" t="s">
        <v>161</v>
      </c>
      <c r="B215" s="839" t="s">
        <v>446</v>
      </c>
      <c r="C215" s="839"/>
      <c r="D215" s="839"/>
      <c r="E215" s="839"/>
      <c r="F215" s="714" t="s">
        <v>86</v>
      </c>
      <c r="G215" s="715">
        <v>4</v>
      </c>
      <c r="H215" s="716"/>
      <c r="I215" s="112">
        <f>G215*H215</f>
        <v>0</v>
      </c>
      <c r="J215" s="856" t="s">
        <v>1781</v>
      </c>
    </row>
    <row r="216" spans="1:10" x14ac:dyDescent="0.25">
      <c r="A216" s="19"/>
      <c r="B216" s="829"/>
      <c r="C216" s="829"/>
      <c r="D216" s="829"/>
      <c r="E216" s="830"/>
      <c r="F216" s="834"/>
      <c r="G216" s="829"/>
      <c r="H216" s="852"/>
      <c r="I216" s="21"/>
      <c r="J216" s="854"/>
    </row>
    <row r="217" spans="1:10" ht="211.5" customHeight="1" x14ac:dyDescent="0.25">
      <c r="A217" s="14" t="s">
        <v>164</v>
      </c>
      <c r="B217" s="839" t="s">
        <v>447</v>
      </c>
      <c r="C217" s="839"/>
      <c r="D217" s="839"/>
      <c r="E217" s="839"/>
      <c r="F217" s="714" t="s">
        <v>86</v>
      </c>
      <c r="G217" s="715">
        <v>1</v>
      </c>
      <c r="H217" s="716"/>
      <c r="I217" s="112">
        <f>G217*H217</f>
        <v>0</v>
      </c>
      <c r="J217" s="856" t="s">
        <v>1781</v>
      </c>
    </row>
    <row r="218" spans="1:10" x14ac:dyDescent="0.25">
      <c r="A218" s="19"/>
      <c r="B218" s="829"/>
      <c r="C218" s="829"/>
      <c r="D218" s="829"/>
      <c r="E218" s="830"/>
      <c r="F218" s="834"/>
      <c r="G218" s="829"/>
      <c r="H218" s="852"/>
      <c r="I218" s="21"/>
      <c r="J218" s="854"/>
    </row>
    <row r="219" spans="1:10" ht="105" customHeight="1" x14ac:dyDescent="0.25">
      <c r="A219" s="14" t="s">
        <v>165</v>
      </c>
      <c r="B219" s="839" t="s">
        <v>163</v>
      </c>
      <c r="C219" s="839"/>
      <c r="D219" s="839"/>
      <c r="E219" s="839"/>
      <c r="F219" s="714" t="s">
        <v>86</v>
      </c>
      <c r="G219" s="715">
        <v>1</v>
      </c>
      <c r="H219" s="716"/>
      <c r="I219" s="112">
        <f>G219*H219</f>
        <v>0</v>
      </c>
      <c r="J219" s="854"/>
    </row>
    <row r="220" spans="1:10" x14ac:dyDescent="0.25">
      <c r="A220" s="14"/>
      <c r="B220" s="840"/>
      <c r="C220" s="840"/>
      <c r="D220" s="840"/>
      <c r="E220" s="840"/>
      <c r="F220" s="714"/>
      <c r="G220" s="715"/>
      <c r="H220" s="716"/>
      <c r="I220" s="114"/>
      <c r="J220" s="854"/>
    </row>
    <row r="221" spans="1:10" ht="94.5" customHeight="1" x14ac:dyDescent="0.25">
      <c r="A221" s="14" t="s">
        <v>167</v>
      </c>
      <c r="B221" s="839" t="s">
        <v>448</v>
      </c>
      <c r="C221" s="839"/>
      <c r="D221" s="839"/>
      <c r="E221" s="839"/>
      <c r="F221" s="714" t="s">
        <v>86</v>
      </c>
      <c r="G221" s="715">
        <v>1</v>
      </c>
      <c r="H221" s="716"/>
      <c r="I221" s="114">
        <f>G221*H221</f>
        <v>0</v>
      </c>
      <c r="J221" s="854"/>
    </row>
    <row r="222" spans="1:10" x14ac:dyDescent="0.25">
      <c r="A222" s="19"/>
      <c r="B222" s="829"/>
      <c r="C222" s="829"/>
      <c r="D222" s="829"/>
      <c r="E222" s="830"/>
      <c r="F222" s="834"/>
      <c r="G222" s="829"/>
      <c r="H222" s="852"/>
      <c r="I222" s="21"/>
      <c r="J222" s="854"/>
    </row>
    <row r="223" spans="1:10" ht="292.8" customHeight="1" x14ac:dyDescent="0.25">
      <c r="A223" s="14" t="s">
        <v>169</v>
      </c>
      <c r="B223" s="839" t="s">
        <v>166</v>
      </c>
      <c r="C223" s="839"/>
      <c r="D223" s="839"/>
      <c r="E223" s="839"/>
      <c r="F223" s="714" t="s">
        <v>86</v>
      </c>
      <c r="G223" s="715">
        <v>6</v>
      </c>
      <c r="H223" s="716"/>
      <c r="I223" s="112">
        <f>G223*H223</f>
        <v>0</v>
      </c>
      <c r="J223" s="856" t="s">
        <v>1781</v>
      </c>
    </row>
    <row r="224" spans="1:10" x14ac:dyDescent="0.25">
      <c r="A224" s="19"/>
      <c r="B224" s="829"/>
      <c r="C224" s="829"/>
      <c r="D224" s="829"/>
      <c r="E224" s="830"/>
      <c r="F224" s="834"/>
      <c r="G224" s="829"/>
      <c r="H224" s="852"/>
      <c r="I224" s="21"/>
      <c r="J224" s="854"/>
    </row>
    <row r="225" spans="1:10" ht="297" customHeight="1" x14ac:dyDescent="0.25">
      <c r="A225" s="14" t="s">
        <v>170</v>
      </c>
      <c r="B225" s="839" t="s">
        <v>168</v>
      </c>
      <c r="C225" s="839"/>
      <c r="D225" s="839"/>
      <c r="E225" s="839"/>
      <c r="F225" s="714" t="s">
        <v>86</v>
      </c>
      <c r="G225" s="715">
        <v>2</v>
      </c>
      <c r="H225" s="716"/>
      <c r="I225" s="112">
        <f>G225*H225</f>
        <v>0</v>
      </c>
      <c r="J225" s="856" t="s">
        <v>1781</v>
      </c>
    </row>
    <row r="226" spans="1:10" x14ac:dyDescent="0.25">
      <c r="A226" s="19"/>
      <c r="B226" s="829"/>
      <c r="C226" s="829"/>
      <c r="D226" s="829"/>
      <c r="E226" s="830"/>
      <c r="F226" s="834"/>
      <c r="G226" s="829"/>
      <c r="H226" s="852"/>
      <c r="I226" s="21"/>
      <c r="J226" s="854"/>
    </row>
    <row r="227" spans="1:10" ht="280.8" customHeight="1" x14ac:dyDescent="0.25">
      <c r="A227" s="14" t="s">
        <v>172</v>
      </c>
      <c r="B227" s="839" t="s">
        <v>449</v>
      </c>
      <c r="C227" s="839"/>
      <c r="D227" s="839"/>
      <c r="E227" s="839"/>
      <c r="F227" s="714" t="s">
        <v>86</v>
      </c>
      <c r="G227" s="715">
        <v>1</v>
      </c>
      <c r="H227" s="716"/>
      <c r="I227" s="112">
        <f>G227*H227</f>
        <v>0</v>
      </c>
      <c r="J227" s="856" t="s">
        <v>1781</v>
      </c>
    </row>
    <row r="228" spans="1:10" x14ac:dyDescent="0.25">
      <c r="A228" s="19"/>
      <c r="B228" s="829"/>
      <c r="C228" s="829"/>
      <c r="D228" s="829"/>
      <c r="E228" s="830"/>
      <c r="F228" s="834"/>
      <c r="G228" s="829"/>
      <c r="H228" s="852"/>
      <c r="I228" s="21"/>
      <c r="J228" s="854"/>
    </row>
    <row r="229" spans="1:10" ht="291.60000000000002" customHeight="1" x14ac:dyDescent="0.25">
      <c r="A229" s="14" t="s">
        <v>173</v>
      </c>
      <c r="B229" s="839" t="s">
        <v>171</v>
      </c>
      <c r="C229" s="839"/>
      <c r="D229" s="839"/>
      <c r="E229" s="839"/>
      <c r="F229" s="714" t="s">
        <v>86</v>
      </c>
      <c r="G229" s="715">
        <v>1</v>
      </c>
      <c r="H229" s="716"/>
      <c r="I229" s="112">
        <f>G229*H229</f>
        <v>0</v>
      </c>
      <c r="J229" s="856" t="s">
        <v>1781</v>
      </c>
    </row>
    <row r="230" spans="1:10" x14ac:dyDescent="0.25">
      <c r="A230" s="14"/>
      <c r="B230" s="840"/>
      <c r="C230" s="840"/>
      <c r="D230" s="840"/>
      <c r="E230" s="840"/>
      <c r="F230" s="714"/>
      <c r="G230" s="715"/>
      <c r="H230" s="716"/>
      <c r="I230" s="114"/>
      <c r="J230" s="854"/>
    </row>
    <row r="231" spans="1:10" ht="295.2" customHeight="1" x14ac:dyDescent="0.25">
      <c r="A231" s="14" t="s">
        <v>174</v>
      </c>
      <c r="B231" s="839" t="s">
        <v>450</v>
      </c>
      <c r="C231" s="839"/>
      <c r="D231" s="839"/>
      <c r="E231" s="839"/>
      <c r="F231" s="714" t="s">
        <v>86</v>
      </c>
      <c r="G231" s="715">
        <v>1</v>
      </c>
      <c r="H231" s="716"/>
      <c r="I231" s="114">
        <f>G231*H231</f>
        <v>0</v>
      </c>
      <c r="J231" s="856" t="s">
        <v>1781</v>
      </c>
    </row>
    <row r="232" spans="1:10" x14ac:dyDescent="0.25">
      <c r="A232" s="19"/>
      <c r="B232" s="829"/>
      <c r="C232" s="829"/>
      <c r="D232" s="829"/>
      <c r="E232" s="830"/>
      <c r="F232" s="834"/>
      <c r="G232" s="829"/>
      <c r="H232" s="852"/>
      <c r="I232" s="21"/>
      <c r="J232" s="854"/>
    </row>
    <row r="233" spans="1:10" ht="295.2" customHeight="1" x14ac:dyDescent="0.25">
      <c r="A233" s="14" t="s">
        <v>175</v>
      </c>
      <c r="B233" s="839" t="s">
        <v>451</v>
      </c>
      <c r="C233" s="839"/>
      <c r="D233" s="839"/>
      <c r="E233" s="839"/>
      <c r="F233" s="714" t="s">
        <v>86</v>
      </c>
      <c r="G233" s="715">
        <v>4</v>
      </c>
      <c r="H233" s="716"/>
      <c r="I233" s="112">
        <f>G233*H233</f>
        <v>0</v>
      </c>
      <c r="J233" s="856" t="s">
        <v>1781</v>
      </c>
    </row>
    <row r="234" spans="1:10" x14ac:dyDescent="0.25">
      <c r="A234" s="19"/>
      <c r="B234" s="829"/>
      <c r="C234" s="829"/>
      <c r="D234" s="829"/>
      <c r="E234" s="830"/>
      <c r="F234" s="834"/>
      <c r="G234" s="829"/>
      <c r="H234" s="852"/>
      <c r="I234" s="21"/>
      <c r="J234" s="854"/>
    </row>
    <row r="235" spans="1:10" ht="292.8" customHeight="1" x14ac:dyDescent="0.25">
      <c r="A235" s="14" t="s">
        <v>176</v>
      </c>
      <c r="B235" s="839" t="s">
        <v>452</v>
      </c>
      <c r="C235" s="839"/>
      <c r="D235" s="839"/>
      <c r="E235" s="839"/>
      <c r="F235" s="714" t="s">
        <v>86</v>
      </c>
      <c r="G235" s="715">
        <v>3</v>
      </c>
      <c r="H235" s="716"/>
      <c r="I235" s="112">
        <f>G235*H235</f>
        <v>0</v>
      </c>
      <c r="J235" s="856" t="s">
        <v>1781</v>
      </c>
    </row>
    <row r="236" spans="1:10" x14ac:dyDescent="0.25">
      <c r="A236" s="19"/>
      <c r="B236" s="829"/>
      <c r="C236" s="829"/>
      <c r="D236" s="829"/>
      <c r="E236" s="830"/>
      <c r="F236" s="834"/>
      <c r="G236" s="829"/>
      <c r="H236" s="852"/>
      <c r="I236" s="21"/>
      <c r="J236" s="854"/>
    </row>
    <row r="237" spans="1:10" ht="291" customHeight="1" x14ac:dyDescent="0.25">
      <c r="A237" s="14" t="s">
        <v>177</v>
      </c>
      <c r="B237" s="839" t="s">
        <v>453</v>
      </c>
      <c r="C237" s="839"/>
      <c r="D237" s="839"/>
      <c r="E237" s="839"/>
      <c r="F237" s="714" t="s">
        <v>86</v>
      </c>
      <c r="G237" s="715">
        <v>1</v>
      </c>
      <c r="H237" s="716"/>
      <c r="I237" s="112">
        <f>G237*H237</f>
        <v>0</v>
      </c>
      <c r="J237" s="856" t="s">
        <v>1781</v>
      </c>
    </row>
    <row r="238" spans="1:10" x14ac:dyDescent="0.25">
      <c r="A238" s="19"/>
      <c r="B238" s="829"/>
      <c r="C238" s="829"/>
      <c r="D238" s="829"/>
      <c r="E238" s="830"/>
      <c r="F238" s="834"/>
      <c r="G238" s="829"/>
      <c r="H238" s="852"/>
      <c r="I238" s="21"/>
      <c r="J238" s="854"/>
    </row>
    <row r="239" spans="1:10" ht="295.2" customHeight="1" x14ac:dyDescent="0.25">
      <c r="A239" s="14" t="s">
        <v>178</v>
      </c>
      <c r="B239" s="839" t="s">
        <v>432</v>
      </c>
      <c r="C239" s="839"/>
      <c r="D239" s="839"/>
      <c r="E239" s="839"/>
      <c r="F239" s="714" t="s">
        <v>86</v>
      </c>
      <c r="G239" s="715">
        <v>1</v>
      </c>
      <c r="H239" s="716"/>
      <c r="I239" s="112">
        <f>G239*H239</f>
        <v>0</v>
      </c>
      <c r="J239" s="856" t="s">
        <v>1781</v>
      </c>
    </row>
    <row r="240" spans="1:10" x14ac:dyDescent="0.25">
      <c r="A240" s="14"/>
      <c r="B240" s="840"/>
      <c r="C240" s="840"/>
      <c r="D240" s="840"/>
      <c r="E240" s="840"/>
      <c r="F240" s="714"/>
      <c r="G240" s="715"/>
      <c r="H240" s="716"/>
      <c r="I240" s="112"/>
      <c r="J240" s="854"/>
    </row>
    <row r="241" spans="1:10" ht="298.2" customHeight="1" x14ac:dyDescent="0.25">
      <c r="A241" s="14" t="s">
        <v>179</v>
      </c>
      <c r="B241" s="839" t="s">
        <v>454</v>
      </c>
      <c r="C241" s="839"/>
      <c r="D241" s="839"/>
      <c r="E241" s="839"/>
      <c r="F241" s="714" t="s">
        <v>86</v>
      </c>
      <c r="G241" s="715">
        <v>1</v>
      </c>
      <c r="H241" s="716"/>
      <c r="I241" s="112">
        <f>G241*H241</f>
        <v>0</v>
      </c>
      <c r="J241" s="856" t="s">
        <v>1781</v>
      </c>
    </row>
    <row r="242" spans="1:10" x14ac:dyDescent="0.25">
      <c r="A242" s="14"/>
      <c r="B242" s="840"/>
      <c r="C242" s="840"/>
      <c r="D242" s="840"/>
      <c r="E242" s="840"/>
      <c r="F242" s="714"/>
      <c r="G242" s="715"/>
      <c r="H242" s="716"/>
      <c r="I242" s="112"/>
      <c r="J242" s="854"/>
    </row>
    <row r="243" spans="1:10" ht="126.6" customHeight="1" x14ac:dyDescent="0.25">
      <c r="A243" s="14" t="s">
        <v>180</v>
      </c>
      <c r="B243" s="839" t="s">
        <v>460</v>
      </c>
      <c r="C243" s="839"/>
      <c r="D243" s="839"/>
      <c r="E243" s="839"/>
      <c r="F243" s="714" t="s">
        <v>433</v>
      </c>
      <c r="G243" s="715">
        <f>3*3.2</f>
        <v>9.6000000000000014</v>
      </c>
      <c r="H243" s="716"/>
      <c r="I243" s="112">
        <f>G243*H243</f>
        <v>0</v>
      </c>
      <c r="J243" s="854"/>
    </row>
    <row r="244" spans="1:10" x14ac:dyDescent="0.25">
      <c r="A244" s="19"/>
      <c r="B244" s="829"/>
      <c r="C244" s="829"/>
      <c r="D244" s="829"/>
      <c r="E244" s="830"/>
      <c r="F244" s="834"/>
      <c r="G244" s="829"/>
      <c r="H244" s="852"/>
      <c r="I244" s="21"/>
      <c r="J244" s="854"/>
    </row>
    <row r="245" spans="1:10" ht="106.8" customHeight="1" x14ac:dyDescent="0.25">
      <c r="A245" s="14" t="s">
        <v>181</v>
      </c>
      <c r="B245" s="839" t="s">
        <v>461</v>
      </c>
      <c r="C245" s="839"/>
      <c r="D245" s="839"/>
      <c r="E245" s="839"/>
      <c r="F245" s="714" t="s">
        <v>433</v>
      </c>
      <c r="G245" s="715">
        <f>4.25*3.2</f>
        <v>13.600000000000001</v>
      </c>
      <c r="H245" s="716"/>
      <c r="I245" s="112">
        <f>G245*H245</f>
        <v>0</v>
      </c>
      <c r="J245" s="854"/>
    </row>
    <row r="246" spans="1:10" x14ac:dyDescent="0.25">
      <c r="A246" s="19"/>
      <c r="B246" s="829"/>
      <c r="C246" s="829"/>
      <c r="D246" s="829"/>
      <c r="E246" s="830"/>
      <c r="F246" s="834"/>
      <c r="G246" s="829"/>
      <c r="H246" s="852"/>
      <c r="I246" s="21"/>
      <c r="J246" s="854"/>
    </row>
    <row r="247" spans="1:10" ht="121.2" customHeight="1" x14ac:dyDescent="0.25">
      <c r="A247" s="14" t="s">
        <v>434</v>
      </c>
      <c r="B247" s="839" t="s">
        <v>462</v>
      </c>
      <c r="C247" s="839"/>
      <c r="D247" s="839"/>
      <c r="E247" s="839"/>
      <c r="F247" s="714" t="s">
        <v>433</v>
      </c>
      <c r="G247" s="715">
        <f>4.2*3.2</f>
        <v>13.440000000000001</v>
      </c>
      <c r="H247" s="716"/>
      <c r="I247" s="112">
        <f>G247*H247</f>
        <v>0</v>
      </c>
      <c r="J247" s="854"/>
    </row>
    <row r="248" spans="1:10" x14ac:dyDescent="0.25">
      <c r="A248" s="14"/>
      <c r="B248" s="840"/>
      <c r="C248" s="840"/>
      <c r="D248" s="840"/>
      <c r="E248" s="840"/>
      <c r="F248" s="714"/>
      <c r="G248" s="715"/>
      <c r="H248" s="716"/>
      <c r="I248" s="114"/>
      <c r="J248" s="854"/>
    </row>
    <row r="249" spans="1:10" ht="114" customHeight="1" x14ac:dyDescent="0.25">
      <c r="A249" s="14" t="s">
        <v>435</v>
      </c>
      <c r="B249" s="839" t="s">
        <v>463</v>
      </c>
      <c r="C249" s="839"/>
      <c r="D249" s="839"/>
      <c r="E249" s="839"/>
      <c r="F249" s="714" t="s">
        <v>433</v>
      </c>
      <c r="G249" s="715">
        <f>3.4*3.2</f>
        <v>10.88</v>
      </c>
      <c r="H249" s="716"/>
      <c r="I249" s="112">
        <f>G249*H249</f>
        <v>0</v>
      </c>
      <c r="J249" s="854"/>
    </row>
    <row r="250" spans="1:10" x14ac:dyDescent="0.25">
      <c r="A250" s="14"/>
      <c r="B250" s="837"/>
      <c r="C250" s="837"/>
      <c r="D250" s="837"/>
      <c r="E250" s="837"/>
      <c r="F250" s="714"/>
      <c r="G250" s="715"/>
      <c r="H250" s="716"/>
      <c r="I250" s="112"/>
      <c r="J250" s="854"/>
    </row>
    <row r="251" spans="1:10" ht="201" customHeight="1" x14ac:dyDescent="0.25">
      <c r="A251" s="14" t="s">
        <v>436</v>
      </c>
      <c r="B251" s="839" t="s">
        <v>456</v>
      </c>
      <c r="C251" s="839"/>
      <c r="D251" s="839"/>
      <c r="E251" s="839"/>
      <c r="F251" s="714" t="s">
        <v>86</v>
      </c>
      <c r="G251" s="715">
        <v>3</v>
      </c>
      <c r="H251" s="716"/>
      <c r="I251" s="112">
        <f>G251*H251</f>
        <v>0</v>
      </c>
      <c r="J251" s="856" t="s">
        <v>1781</v>
      </c>
    </row>
    <row r="252" spans="1:10" x14ac:dyDescent="0.25">
      <c r="A252" s="14"/>
      <c r="B252" s="837"/>
      <c r="C252" s="837"/>
      <c r="D252" s="837"/>
      <c r="E252" s="837"/>
      <c r="F252" s="714"/>
      <c r="G252" s="715"/>
      <c r="H252" s="716"/>
      <c r="I252" s="112"/>
      <c r="J252" s="854"/>
    </row>
    <row r="253" spans="1:10" ht="208.5" customHeight="1" x14ac:dyDescent="0.25">
      <c r="A253" s="14" t="s">
        <v>455</v>
      </c>
      <c r="B253" s="839" t="s">
        <v>457</v>
      </c>
      <c r="C253" s="839"/>
      <c r="D253" s="839"/>
      <c r="E253" s="839"/>
      <c r="F253" s="714" t="s">
        <v>86</v>
      </c>
      <c r="G253" s="715">
        <v>1</v>
      </c>
      <c r="H253" s="716"/>
      <c r="I253" s="112">
        <f>G253*H253</f>
        <v>0</v>
      </c>
      <c r="J253" s="856" t="s">
        <v>1781</v>
      </c>
    </row>
    <row r="254" spans="1:10" x14ac:dyDescent="0.25">
      <c r="A254" s="14"/>
      <c r="B254" s="837"/>
      <c r="C254" s="837"/>
      <c r="D254" s="837"/>
      <c r="E254" s="837"/>
      <c r="F254" s="714"/>
      <c r="G254" s="715"/>
      <c r="H254" s="716"/>
      <c r="I254" s="112"/>
      <c r="J254" s="854"/>
    </row>
    <row r="255" spans="1:10" ht="211.5" customHeight="1" x14ac:dyDescent="0.25">
      <c r="A255" s="15" t="s">
        <v>458</v>
      </c>
      <c r="B255" s="841" t="s">
        <v>459</v>
      </c>
      <c r="C255" s="841"/>
      <c r="D255" s="841"/>
      <c r="E255" s="841"/>
      <c r="F255" s="116" t="s">
        <v>86</v>
      </c>
      <c r="G255" s="35">
        <v>4</v>
      </c>
      <c r="H255" s="117"/>
      <c r="I255" s="118">
        <f>G255*H255</f>
        <v>0</v>
      </c>
      <c r="J255" s="856" t="s">
        <v>1781</v>
      </c>
    </row>
    <row r="256" spans="1:10" x14ac:dyDescent="0.25">
      <c r="A256" s="14"/>
      <c r="B256" s="837"/>
      <c r="C256" s="837"/>
      <c r="D256" s="837"/>
      <c r="E256" s="837"/>
      <c r="F256" s="714"/>
      <c r="G256" s="715"/>
      <c r="H256" s="716"/>
      <c r="I256" s="112"/>
      <c r="J256" s="854"/>
    </row>
    <row r="257" spans="1:10" x14ac:dyDescent="0.25">
      <c r="A257" s="19"/>
      <c r="B257" s="829"/>
      <c r="C257" s="829"/>
      <c r="D257" s="829"/>
      <c r="E257" s="830"/>
      <c r="F257" s="834" t="s">
        <v>431</v>
      </c>
      <c r="G257" s="829"/>
      <c r="H257" s="852" t="s">
        <v>15</v>
      </c>
      <c r="I257" s="21">
        <f>SUM(I209:I255)</f>
        <v>0</v>
      </c>
      <c r="J257" s="854"/>
    </row>
    <row r="258" spans="1:10" x14ac:dyDescent="0.25">
      <c r="A258" s="19"/>
      <c r="B258" s="829"/>
      <c r="C258" s="829"/>
      <c r="D258" s="829"/>
      <c r="E258" s="830"/>
      <c r="F258" s="834"/>
      <c r="G258" s="829"/>
      <c r="H258" s="852"/>
      <c r="I258" s="21"/>
      <c r="J258" s="854"/>
    </row>
    <row r="259" spans="1:10" x14ac:dyDescent="0.25">
      <c r="A259" s="19"/>
      <c r="B259" s="829"/>
      <c r="C259" s="829"/>
      <c r="D259" s="829"/>
      <c r="E259" s="830"/>
      <c r="F259" s="834"/>
      <c r="G259" s="829"/>
      <c r="H259" s="852"/>
      <c r="I259" s="21"/>
      <c r="J259" s="854"/>
    </row>
    <row r="260" spans="1:10" x14ac:dyDescent="0.25">
      <c r="A260" s="7" t="s">
        <v>437</v>
      </c>
      <c r="B260" s="813"/>
      <c r="C260" s="813"/>
      <c r="D260" s="813"/>
      <c r="E260" s="813"/>
      <c r="F260" s="811"/>
      <c r="G260" s="811"/>
      <c r="H260" s="845"/>
      <c r="I260" s="12"/>
      <c r="J260" s="854"/>
    </row>
    <row r="261" spans="1:10" x14ac:dyDescent="0.25">
      <c r="A261" s="7"/>
      <c r="B261" s="813"/>
      <c r="C261" s="813"/>
      <c r="D261" s="813"/>
      <c r="E261" s="813"/>
      <c r="F261" s="811"/>
      <c r="G261" s="811"/>
      <c r="H261" s="845"/>
      <c r="I261" s="12"/>
      <c r="J261" s="854"/>
    </row>
    <row r="262" spans="1:10" x14ac:dyDescent="0.25">
      <c r="A262" s="13" t="s">
        <v>4</v>
      </c>
      <c r="B262" s="820" t="s">
        <v>5</v>
      </c>
      <c r="C262" s="820"/>
      <c r="D262" s="820"/>
      <c r="E262" s="820"/>
      <c r="F262" s="815" t="s">
        <v>6</v>
      </c>
      <c r="G262" s="815" t="s">
        <v>7</v>
      </c>
      <c r="H262" s="850" t="s">
        <v>9</v>
      </c>
      <c r="I262" s="13" t="s">
        <v>8</v>
      </c>
      <c r="J262" s="854"/>
    </row>
    <row r="263" spans="1:10" x14ac:dyDescent="0.25">
      <c r="A263" s="28"/>
      <c r="B263" s="832"/>
      <c r="C263" s="832"/>
      <c r="D263" s="832"/>
      <c r="E263" s="832"/>
      <c r="F263" s="833"/>
      <c r="G263" s="833"/>
      <c r="H263" s="853"/>
      <c r="I263" s="28"/>
      <c r="J263" s="854"/>
    </row>
    <row r="264" spans="1:10" x14ac:dyDescent="0.25">
      <c r="A264" s="14" t="s">
        <v>182</v>
      </c>
      <c r="B264" s="842" t="s">
        <v>326</v>
      </c>
      <c r="C264" s="842"/>
      <c r="D264" s="842"/>
      <c r="E264" s="842"/>
      <c r="F264" s="70"/>
      <c r="G264" s="71"/>
      <c r="H264" s="72"/>
      <c r="I264" s="73"/>
      <c r="J264" s="854"/>
    </row>
    <row r="265" spans="1:10" x14ac:dyDescent="0.25">
      <c r="A265" s="74"/>
      <c r="B265" s="843" t="s">
        <v>327</v>
      </c>
      <c r="C265" s="843"/>
      <c r="D265" s="843"/>
      <c r="E265" s="843"/>
      <c r="F265" s="714" t="s">
        <v>86</v>
      </c>
      <c r="G265" s="715">
        <v>1</v>
      </c>
      <c r="H265" s="716"/>
      <c r="I265" s="112">
        <f>G265*H265</f>
        <v>0</v>
      </c>
      <c r="J265" s="854"/>
    </row>
    <row r="266" spans="1:10" x14ac:dyDescent="0.25">
      <c r="A266" s="69"/>
      <c r="B266" s="842" t="s">
        <v>328</v>
      </c>
      <c r="C266" s="842"/>
      <c r="D266" s="842"/>
      <c r="E266" s="842"/>
      <c r="F266" s="714" t="s">
        <v>86</v>
      </c>
      <c r="G266" s="715">
        <v>6</v>
      </c>
      <c r="H266" s="716"/>
      <c r="I266" s="112">
        <f>G266*H266</f>
        <v>0</v>
      </c>
      <c r="J266" s="854"/>
    </row>
    <row r="267" spans="1:10" x14ac:dyDescent="0.25">
      <c r="A267" s="75"/>
      <c r="B267" s="844"/>
      <c r="C267" s="844"/>
      <c r="D267" s="844"/>
      <c r="E267" s="844"/>
      <c r="F267" s="76"/>
      <c r="G267" s="77"/>
      <c r="H267" s="78"/>
      <c r="I267" s="79"/>
      <c r="J267" s="854"/>
    </row>
    <row r="268" spans="1:10" x14ac:dyDescent="0.25">
      <c r="A268" s="14"/>
      <c r="B268" s="814"/>
      <c r="C268" s="814"/>
      <c r="D268" s="814"/>
      <c r="E268" s="814"/>
      <c r="F268" s="821"/>
      <c r="G268" s="812"/>
      <c r="H268" s="846"/>
      <c r="I268" s="5"/>
      <c r="J268" s="854"/>
    </row>
    <row r="269" spans="1:10" x14ac:dyDescent="0.25">
      <c r="A269" s="19"/>
      <c r="B269" s="829"/>
      <c r="C269" s="829"/>
      <c r="D269" s="829"/>
      <c r="E269" s="830"/>
      <c r="F269" s="834" t="s">
        <v>437</v>
      </c>
      <c r="G269" s="829"/>
      <c r="H269" s="852" t="s">
        <v>15</v>
      </c>
      <c r="I269" s="21">
        <f>SUM(I264:I267)</f>
        <v>0</v>
      </c>
      <c r="J269" s="854"/>
    </row>
    <row r="270" spans="1:10" x14ac:dyDescent="0.25">
      <c r="A270" s="19"/>
      <c r="B270" s="19"/>
      <c r="C270" s="19"/>
      <c r="D270" s="19"/>
      <c r="E270" s="109"/>
      <c r="F270" s="29"/>
      <c r="G270" s="19"/>
      <c r="H270" s="20"/>
      <c r="I270" s="21"/>
      <c r="J270" s="854"/>
    </row>
    <row r="271" spans="1:10" x14ac:dyDescent="0.25">
      <c r="A271" s="19"/>
      <c r="B271" s="19"/>
      <c r="C271" s="19"/>
      <c r="D271" s="19"/>
      <c r="E271" s="109"/>
      <c r="F271" s="29"/>
      <c r="G271" s="19"/>
      <c r="H271" s="20"/>
      <c r="I271" s="21"/>
      <c r="J271" s="854"/>
    </row>
    <row r="272" spans="1:10" x14ac:dyDescent="0.25">
      <c r="A272" s="19"/>
      <c r="B272" s="19"/>
      <c r="C272" s="19"/>
      <c r="D272" s="19"/>
      <c r="E272" s="109"/>
      <c r="F272" s="29"/>
      <c r="G272" s="19"/>
      <c r="H272" s="20"/>
      <c r="I272" s="21"/>
      <c r="J272" s="854"/>
    </row>
    <row r="273" spans="1:13" x14ac:dyDescent="0.25">
      <c r="A273" s="690"/>
      <c r="B273" s="692" t="s">
        <v>1578</v>
      </c>
      <c r="F273" s="29"/>
      <c r="G273" s="19"/>
      <c r="H273" s="20"/>
      <c r="I273" s="21"/>
      <c r="J273" s="854"/>
    </row>
    <row r="274" spans="1:13" x14ac:dyDescent="0.25">
      <c r="A274" s="691"/>
      <c r="B274" s="732" t="s">
        <v>1788</v>
      </c>
      <c r="C274" s="732"/>
      <c r="D274" s="732"/>
      <c r="E274" s="732"/>
      <c r="F274" s="732"/>
      <c r="G274" s="732"/>
      <c r="H274" s="732"/>
      <c r="I274" s="732"/>
      <c r="J274" s="854"/>
    </row>
    <row r="275" spans="1:13" x14ac:dyDescent="0.25">
      <c r="A275" s="19"/>
      <c r="B275" s="732"/>
      <c r="C275" s="732"/>
      <c r="D275" s="732"/>
      <c r="E275" s="732"/>
      <c r="F275" s="732"/>
      <c r="G275" s="732"/>
      <c r="H275" s="732"/>
      <c r="I275" s="732"/>
    </row>
    <row r="276" spans="1:13" x14ac:dyDescent="0.25">
      <c r="A276" s="19"/>
      <c r="B276" s="19"/>
      <c r="C276" s="19"/>
      <c r="D276" s="19"/>
      <c r="E276" s="109"/>
      <c r="F276" s="29"/>
      <c r="G276" s="19"/>
      <c r="H276" s="20"/>
      <c r="I276" s="21"/>
    </row>
    <row r="277" spans="1:13" ht="27.6" customHeight="1" x14ac:dyDescent="0.25">
      <c r="A277" s="19"/>
      <c r="B277" s="731" t="s">
        <v>1776</v>
      </c>
      <c r="C277" s="731"/>
      <c r="D277" s="731"/>
      <c r="E277" s="731"/>
      <c r="F277" s="731"/>
      <c r="G277" s="731"/>
      <c r="H277" s="731"/>
      <c r="I277" s="731"/>
      <c r="J277" s="731"/>
      <c r="K277" s="731"/>
      <c r="L277" s="731"/>
      <c r="M277" s="731"/>
    </row>
    <row r="278" spans="1:13" x14ac:dyDescent="0.25">
      <c r="A278" s="19"/>
      <c r="B278" s="19"/>
      <c r="C278" s="19"/>
      <c r="D278" s="19"/>
      <c r="E278" s="115"/>
      <c r="F278" s="29"/>
      <c r="G278" s="19"/>
      <c r="H278" s="20"/>
      <c r="I278" s="21"/>
    </row>
    <row r="279" spans="1:13" x14ac:dyDescent="0.25">
      <c r="A279" s="19"/>
      <c r="B279" s="19"/>
      <c r="C279" s="19"/>
      <c r="D279" s="19"/>
      <c r="E279" s="115"/>
      <c r="F279" s="29"/>
      <c r="G279" s="19"/>
      <c r="H279" s="20"/>
      <c r="I279" s="21"/>
    </row>
    <row r="280" spans="1:13" x14ac:dyDescent="0.25">
      <c r="A280" s="19"/>
      <c r="B280" s="19"/>
      <c r="C280" s="19"/>
      <c r="D280" s="19"/>
      <c r="E280" s="115"/>
      <c r="F280" s="29"/>
      <c r="G280" s="19"/>
      <c r="H280" s="20"/>
      <c r="I280" s="21"/>
    </row>
    <row r="281" spans="1:13" x14ac:dyDescent="0.25">
      <c r="A281" s="730" t="s">
        <v>40</v>
      </c>
      <c r="B281" s="730"/>
      <c r="C281" s="730"/>
      <c r="D281" s="730"/>
      <c r="E281" s="730"/>
      <c r="F281" s="730"/>
      <c r="G281" s="730"/>
      <c r="H281" s="730"/>
      <c r="I281" s="730"/>
    </row>
    <row r="283" spans="1:13" x14ac:dyDescent="0.25">
      <c r="A283" s="22" t="s">
        <v>60</v>
      </c>
      <c r="I283" s="23">
        <f>I18</f>
        <v>0</v>
      </c>
    </row>
    <row r="284" spans="1:13" x14ac:dyDescent="0.25">
      <c r="A284" s="22" t="s">
        <v>61</v>
      </c>
      <c r="I284" s="23">
        <f>I41</f>
        <v>0</v>
      </c>
    </row>
    <row r="285" spans="1:13" x14ac:dyDescent="0.25">
      <c r="A285" s="22" t="s">
        <v>62</v>
      </c>
      <c r="I285" s="23">
        <f>I68</f>
        <v>0</v>
      </c>
    </row>
    <row r="286" spans="1:13" x14ac:dyDescent="0.25">
      <c r="A286" s="22" t="s">
        <v>65</v>
      </c>
      <c r="I286" s="23">
        <f>I81</f>
        <v>0</v>
      </c>
    </row>
    <row r="287" spans="1:13" x14ac:dyDescent="0.25">
      <c r="A287" s="22" t="s">
        <v>66</v>
      </c>
      <c r="I287" s="23">
        <f>I106</f>
        <v>0</v>
      </c>
    </row>
    <row r="288" spans="1:13" x14ac:dyDescent="0.25">
      <c r="A288" s="22" t="s">
        <v>72</v>
      </c>
      <c r="I288" s="23">
        <f>I115</f>
        <v>0</v>
      </c>
    </row>
    <row r="289" spans="1:9" x14ac:dyDescent="0.25">
      <c r="A289" s="22" t="s">
        <v>73</v>
      </c>
      <c r="I289" s="23">
        <f>I145</f>
        <v>0</v>
      </c>
    </row>
    <row r="290" spans="1:9" x14ac:dyDescent="0.25">
      <c r="A290" s="24" t="s">
        <v>82</v>
      </c>
      <c r="B290" s="19"/>
      <c r="C290" s="19"/>
      <c r="D290" s="19"/>
      <c r="E290" s="19"/>
      <c r="F290" s="19"/>
      <c r="G290" s="19"/>
      <c r="H290" s="19"/>
      <c r="I290" s="25">
        <f>I154</f>
        <v>0</v>
      </c>
    </row>
    <row r="291" spans="1:9" x14ac:dyDescent="0.25">
      <c r="A291" s="24" t="s">
        <v>138</v>
      </c>
      <c r="B291" s="19"/>
      <c r="C291" s="19"/>
      <c r="D291" s="19"/>
      <c r="E291" s="19"/>
      <c r="F291" s="19"/>
      <c r="G291" s="19"/>
      <c r="H291" s="19"/>
      <c r="I291" s="25">
        <f>I165</f>
        <v>0</v>
      </c>
    </row>
    <row r="292" spans="1:9" x14ac:dyDescent="0.25">
      <c r="A292" s="24" t="s">
        <v>141</v>
      </c>
      <c r="B292" s="19"/>
      <c r="C292" s="19"/>
      <c r="D292" s="19"/>
      <c r="E292" s="19"/>
      <c r="F292" s="19"/>
      <c r="G292" s="19"/>
      <c r="H292" s="19"/>
      <c r="I292" s="25">
        <f>I173</f>
        <v>0</v>
      </c>
    </row>
    <row r="293" spans="1:9" x14ac:dyDescent="0.25">
      <c r="A293" s="24" t="s">
        <v>144</v>
      </c>
      <c r="B293" s="19"/>
      <c r="C293" s="19"/>
      <c r="D293" s="19"/>
      <c r="E293" s="19"/>
      <c r="F293" s="19"/>
      <c r="G293" s="19"/>
      <c r="H293" s="19"/>
      <c r="I293" s="25">
        <f>I186</f>
        <v>0</v>
      </c>
    </row>
    <row r="294" spans="1:9" x14ac:dyDescent="0.25">
      <c r="A294" s="24" t="s">
        <v>154</v>
      </c>
      <c r="B294" s="19"/>
      <c r="C294" s="19"/>
      <c r="D294" s="19"/>
      <c r="E294" s="19"/>
      <c r="F294" s="19"/>
      <c r="G294" s="19"/>
      <c r="H294" s="19"/>
      <c r="I294" s="25">
        <f>I202</f>
        <v>0</v>
      </c>
    </row>
    <row r="295" spans="1:9" x14ac:dyDescent="0.25">
      <c r="A295" s="24" t="s">
        <v>157</v>
      </c>
      <c r="B295" s="19"/>
      <c r="C295" s="19"/>
      <c r="D295" s="19"/>
      <c r="E295" s="19"/>
      <c r="F295" s="19"/>
      <c r="G295" s="19"/>
      <c r="H295" s="19"/>
      <c r="I295" s="25">
        <f>I257</f>
        <v>0</v>
      </c>
    </row>
    <row r="296" spans="1:9" x14ac:dyDescent="0.25">
      <c r="A296" s="26" t="s">
        <v>437</v>
      </c>
      <c r="B296" s="17"/>
      <c r="C296" s="17"/>
      <c r="D296" s="17"/>
      <c r="E296" s="17"/>
      <c r="F296" s="17"/>
      <c r="G296" s="17"/>
      <c r="H296" s="17"/>
      <c r="I296" s="27">
        <f>I269</f>
        <v>0</v>
      </c>
    </row>
    <row r="297" spans="1:9" x14ac:dyDescent="0.25">
      <c r="I297" s="23"/>
    </row>
    <row r="298" spans="1:9" x14ac:dyDescent="0.25">
      <c r="H298" t="s">
        <v>15</v>
      </c>
      <c r="I298" s="60">
        <f>SUM(I283:I296)</f>
        <v>0</v>
      </c>
    </row>
    <row r="299" spans="1:9" x14ac:dyDescent="0.25">
      <c r="A299" s="19"/>
      <c r="B299" s="19"/>
      <c r="C299" s="19"/>
      <c r="D299" s="19"/>
      <c r="E299" s="109"/>
      <c r="F299" s="29"/>
      <c r="G299" s="19"/>
      <c r="H299" s="20"/>
      <c r="I299" s="21"/>
    </row>
    <row r="300" spans="1:9" x14ac:dyDescent="0.25">
      <c r="A300" s="19"/>
      <c r="B300" s="19"/>
      <c r="C300" s="19"/>
      <c r="D300" s="19"/>
      <c r="E300" s="109"/>
      <c r="F300" s="29"/>
      <c r="G300" s="19"/>
      <c r="H300" s="20"/>
      <c r="I300" s="21"/>
    </row>
    <row r="301" spans="1:9" x14ac:dyDescent="0.25">
      <c r="A301" s="19"/>
      <c r="B301" s="19"/>
      <c r="C301" s="19"/>
      <c r="D301" s="19"/>
      <c r="E301" s="109"/>
      <c r="F301" s="29"/>
      <c r="G301" s="19"/>
      <c r="H301" s="20"/>
      <c r="I301" s="21"/>
    </row>
    <row r="302" spans="1:9" x14ac:dyDescent="0.25">
      <c r="A302" s="19"/>
      <c r="B302" s="19"/>
      <c r="C302" s="19"/>
      <c r="D302" s="19"/>
      <c r="E302" s="109"/>
      <c r="F302" s="29"/>
      <c r="G302" s="19"/>
      <c r="H302" s="20"/>
      <c r="I302" s="21"/>
    </row>
    <row r="303" spans="1:9" x14ac:dyDescent="0.25">
      <c r="A303" s="19"/>
      <c r="B303" s="19"/>
      <c r="C303" s="19"/>
      <c r="D303" s="19"/>
      <c r="E303" s="109"/>
      <c r="F303" s="29"/>
      <c r="G303" s="19"/>
      <c r="H303" s="20"/>
      <c r="I303" s="21"/>
    </row>
    <row r="304" spans="1:9" x14ac:dyDescent="0.25">
      <c r="A304" s="19"/>
      <c r="B304" s="19"/>
      <c r="C304" s="19"/>
      <c r="D304" s="19"/>
      <c r="E304" s="109"/>
      <c r="F304" s="29"/>
      <c r="G304" s="19"/>
      <c r="H304" s="20"/>
      <c r="I304" s="21"/>
    </row>
    <row r="305" spans="1:9" x14ac:dyDescent="0.25">
      <c r="A305" s="19"/>
      <c r="B305" s="19"/>
      <c r="C305" s="19"/>
      <c r="D305" s="19"/>
      <c r="E305" s="109"/>
      <c r="F305" s="29"/>
      <c r="G305" s="19"/>
      <c r="H305" s="20"/>
      <c r="I305" s="21"/>
    </row>
    <row r="306" spans="1:9" x14ac:dyDescent="0.25">
      <c r="A306" s="19"/>
      <c r="B306" s="19"/>
      <c r="C306" s="19"/>
      <c r="D306" s="19"/>
      <c r="E306" s="109"/>
      <c r="F306" s="29"/>
      <c r="G306" s="19"/>
      <c r="H306" s="20"/>
      <c r="I306" s="21"/>
    </row>
    <row r="307" spans="1:9" x14ac:dyDescent="0.25">
      <c r="A307" s="19"/>
      <c r="B307" s="19"/>
      <c r="C307" s="19"/>
      <c r="D307" s="19"/>
      <c r="E307" s="109"/>
      <c r="F307" s="29"/>
      <c r="G307" s="19"/>
      <c r="H307" s="20"/>
      <c r="I307" s="21"/>
    </row>
    <row r="308" spans="1:9" x14ac:dyDescent="0.25">
      <c r="A308" s="19"/>
      <c r="B308" s="19"/>
      <c r="C308" s="19"/>
      <c r="D308" s="19"/>
      <c r="E308" s="109"/>
      <c r="F308" s="29"/>
      <c r="G308" s="19"/>
      <c r="H308" s="20"/>
      <c r="I308" s="21"/>
    </row>
    <row r="309" spans="1:9" x14ac:dyDescent="0.25">
      <c r="A309" s="19"/>
      <c r="B309" s="19"/>
      <c r="C309" s="19"/>
      <c r="D309" s="19"/>
      <c r="E309" s="109"/>
      <c r="F309" s="29"/>
      <c r="G309" s="19"/>
      <c r="H309" s="20"/>
      <c r="I309" s="21"/>
    </row>
    <row r="310" spans="1:9" x14ac:dyDescent="0.25">
      <c r="A310" s="19"/>
      <c r="B310" s="19"/>
      <c r="C310" s="19"/>
      <c r="D310" s="19"/>
      <c r="E310" s="109"/>
      <c r="F310" s="29"/>
      <c r="G310" s="19"/>
      <c r="H310" s="20"/>
      <c r="I310" s="21"/>
    </row>
    <row r="311" spans="1:9" x14ac:dyDescent="0.25">
      <c r="A311" s="19"/>
      <c r="B311" s="19"/>
      <c r="C311" s="19"/>
      <c r="D311" s="19"/>
      <c r="E311" s="109"/>
      <c r="F311" s="29"/>
      <c r="G311" s="19"/>
      <c r="H311" s="20"/>
      <c r="I311" s="21"/>
    </row>
    <row r="312" spans="1:9" x14ac:dyDescent="0.25">
      <c r="A312" s="19"/>
      <c r="B312" s="19"/>
      <c r="C312" s="19"/>
      <c r="D312" s="19"/>
      <c r="E312" s="109"/>
      <c r="F312" s="29"/>
      <c r="G312" s="19"/>
      <c r="H312" s="20"/>
      <c r="I312" s="21"/>
    </row>
  </sheetData>
  <mergeCells count="121">
    <mergeCell ref="B277:M277"/>
    <mergeCell ref="J192:J193"/>
    <mergeCell ref="J195:J198"/>
    <mergeCell ref="B274:I275"/>
    <mergeCell ref="B92:E92"/>
    <mergeCell ref="B100:E100"/>
    <mergeCell ref="B264:E264"/>
    <mergeCell ref="B266:E266"/>
    <mergeCell ref="A281:I281"/>
    <mergeCell ref="B227:E227"/>
    <mergeCell ref="B229:E229"/>
    <mergeCell ref="B239:E239"/>
    <mergeCell ref="B241:E241"/>
    <mergeCell ref="B243:E243"/>
    <mergeCell ref="B251:E251"/>
    <mergeCell ref="B253:E253"/>
    <mergeCell ref="B255:E255"/>
    <mergeCell ref="B262:E262"/>
    <mergeCell ref="B265:E265"/>
    <mergeCell ref="B267:E267"/>
    <mergeCell ref="B245:E245"/>
    <mergeCell ref="B247:E247"/>
    <mergeCell ref="B249:E249"/>
    <mergeCell ref="B231:E231"/>
    <mergeCell ref="B207:E207"/>
    <mergeCell ref="B209:E209"/>
    <mergeCell ref="B211:E211"/>
    <mergeCell ref="B213:E213"/>
    <mergeCell ref="B136:E136"/>
    <mergeCell ref="B137:E137"/>
    <mergeCell ref="B138:E138"/>
    <mergeCell ref="B142:E142"/>
    <mergeCell ref="B140:E140"/>
    <mergeCell ref="B141:E141"/>
    <mergeCell ref="B143:E143"/>
    <mergeCell ref="B190:E190"/>
    <mergeCell ref="B192:E192"/>
    <mergeCell ref="B163:E163"/>
    <mergeCell ref="B113:E113"/>
    <mergeCell ref="B120:E120"/>
    <mergeCell ref="B122:E122"/>
    <mergeCell ref="B123:E123"/>
    <mergeCell ref="B125:E125"/>
    <mergeCell ref="B127:E127"/>
    <mergeCell ref="B129:E129"/>
    <mergeCell ref="B135:E135"/>
    <mergeCell ref="B131:E131"/>
    <mergeCell ref="B133:E133"/>
    <mergeCell ref="B33:E33"/>
    <mergeCell ref="B39:E39"/>
    <mergeCell ref="B58:E58"/>
    <mergeCell ref="B66:E66"/>
    <mergeCell ref="B23:E23"/>
    <mergeCell ref="B50:E50"/>
    <mergeCell ref="B54:E54"/>
    <mergeCell ref="B56:E56"/>
    <mergeCell ref="B46:E46"/>
    <mergeCell ref="B48:E48"/>
    <mergeCell ref="B62:E62"/>
    <mergeCell ref="B64:E64"/>
    <mergeCell ref="B52:E52"/>
    <mergeCell ref="B35:E35"/>
    <mergeCell ref="B60:E60"/>
    <mergeCell ref="A1:I1"/>
    <mergeCell ref="B6:E6"/>
    <mergeCell ref="B10:E10"/>
    <mergeCell ref="B12:E12"/>
    <mergeCell ref="B111:E111"/>
    <mergeCell ref="B104:E104"/>
    <mergeCell ref="B98:E98"/>
    <mergeCell ref="B102:E102"/>
    <mergeCell ref="B25:E25"/>
    <mergeCell ref="B27:E27"/>
    <mergeCell ref="B94:E94"/>
    <mergeCell ref="B37:E37"/>
    <mergeCell ref="B14:E14"/>
    <mergeCell ref="B79:E79"/>
    <mergeCell ref="B86:E86"/>
    <mergeCell ref="B88:E88"/>
    <mergeCell ref="B90:E90"/>
    <mergeCell ref="B96:E96"/>
    <mergeCell ref="B8:E8"/>
    <mergeCell ref="B16:E16"/>
    <mergeCell ref="B29:E29"/>
    <mergeCell ref="B31:E31"/>
    <mergeCell ref="B75:E75"/>
    <mergeCell ref="B77:E77"/>
    <mergeCell ref="B233:E233"/>
    <mergeCell ref="B235:E235"/>
    <mergeCell ref="B237:E237"/>
    <mergeCell ref="B139:E139"/>
    <mergeCell ref="B159:E159"/>
    <mergeCell ref="B161:E161"/>
    <mergeCell ref="B152:E152"/>
    <mergeCell ref="B200:E200"/>
    <mergeCell ref="B148:E148"/>
    <mergeCell ref="B197:E197"/>
    <mergeCell ref="B193:E193"/>
    <mergeCell ref="B150:E150"/>
    <mergeCell ref="B169:E169"/>
    <mergeCell ref="B171:E171"/>
    <mergeCell ref="B178:E178"/>
    <mergeCell ref="B180:E180"/>
    <mergeCell ref="B184:E184"/>
    <mergeCell ref="B182:E182"/>
    <mergeCell ref="B215:E215"/>
    <mergeCell ref="B217:E217"/>
    <mergeCell ref="B219:E219"/>
    <mergeCell ref="B223:E223"/>
    <mergeCell ref="B225:E225"/>
    <mergeCell ref="B221:E221"/>
    <mergeCell ref="F192:F193"/>
    <mergeCell ref="G192:G193"/>
    <mergeCell ref="H192:H193"/>
    <mergeCell ref="I192:I193"/>
    <mergeCell ref="B198:E198"/>
    <mergeCell ref="F197:F198"/>
    <mergeCell ref="G197:G198"/>
    <mergeCell ref="H197:H198"/>
    <mergeCell ref="I197:I198"/>
    <mergeCell ref="B195:E195"/>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87"/>
  <sheetViews>
    <sheetView topLeftCell="A162" workbookViewId="0">
      <selection activeCell="K176" sqref="K176"/>
    </sheetView>
  </sheetViews>
  <sheetFormatPr defaultRowHeight="13.2" x14ac:dyDescent="0.25"/>
  <cols>
    <col min="1" max="1" width="5.44140625" customWidth="1"/>
    <col min="5" max="5" width="13.5546875" customWidth="1"/>
    <col min="6" max="6" width="5.5546875" customWidth="1"/>
    <col min="7" max="7" width="7.6640625" customWidth="1"/>
    <col min="8" max="8" width="13.44140625" customWidth="1"/>
    <col min="9" max="9" width="16.109375" customWidth="1"/>
    <col min="10" max="10" width="20.21875" customWidth="1"/>
  </cols>
  <sheetData>
    <row r="1" spans="1:10" x14ac:dyDescent="0.25">
      <c r="A1" s="735" t="s">
        <v>1586</v>
      </c>
      <c r="B1" s="735"/>
      <c r="C1" s="735"/>
      <c r="D1" s="735"/>
      <c r="E1" s="735"/>
      <c r="F1" s="735"/>
      <c r="G1" s="735"/>
      <c r="H1" s="735"/>
      <c r="I1" s="735"/>
    </row>
    <row r="3" spans="1:10" x14ac:dyDescent="0.25">
      <c r="A3" s="36" t="s">
        <v>183</v>
      </c>
      <c r="B3" s="37"/>
      <c r="C3" s="37"/>
      <c r="D3" s="37"/>
      <c r="E3" s="37"/>
      <c r="F3" s="38"/>
      <c r="G3" s="38"/>
      <c r="H3" s="38"/>
      <c r="I3" s="38"/>
    </row>
    <row r="4" spans="1:10" x14ac:dyDescent="0.25">
      <c r="A4" s="36"/>
      <c r="B4" s="37"/>
      <c r="C4" s="37"/>
      <c r="D4" s="37"/>
      <c r="E4" s="37"/>
      <c r="F4" s="38"/>
      <c r="G4" s="38"/>
      <c r="H4" s="38"/>
      <c r="I4" s="38"/>
    </row>
    <row r="5" spans="1:10" x14ac:dyDescent="0.25">
      <c r="A5" s="36" t="s">
        <v>184</v>
      </c>
      <c r="B5" s="37"/>
      <c r="C5" s="37"/>
      <c r="D5" s="37"/>
      <c r="E5" s="37"/>
      <c r="F5" s="38"/>
      <c r="G5" s="38"/>
      <c r="H5" s="38"/>
      <c r="I5" s="38"/>
    </row>
    <row r="6" spans="1:10" x14ac:dyDescent="0.25">
      <c r="A6" s="36"/>
      <c r="B6" s="37"/>
      <c r="C6" s="37"/>
      <c r="D6" s="37"/>
      <c r="E6" s="37"/>
      <c r="F6" s="38"/>
      <c r="G6" s="38"/>
      <c r="H6" s="38"/>
      <c r="I6" s="38"/>
    </row>
    <row r="7" spans="1:10" x14ac:dyDescent="0.25">
      <c r="A7" s="39" t="s">
        <v>4</v>
      </c>
      <c r="B7" s="734" t="s">
        <v>5</v>
      </c>
      <c r="C7" s="734"/>
      <c r="D7" s="734"/>
      <c r="E7" s="734"/>
      <c r="F7" s="39" t="s">
        <v>6</v>
      </c>
      <c r="G7" s="39" t="s">
        <v>7</v>
      </c>
      <c r="H7" s="39" t="s">
        <v>9</v>
      </c>
      <c r="I7" s="39" t="s">
        <v>8</v>
      </c>
      <c r="J7" s="694" t="s">
        <v>1580</v>
      </c>
    </row>
    <row r="8" spans="1:10" x14ac:dyDescent="0.25">
      <c r="A8" s="38"/>
      <c r="B8" s="37"/>
      <c r="C8" s="37"/>
      <c r="D8" s="37"/>
      <c r="E8" s="37"/>
      <c r="F8" s="38"/>
      <c r="G8" s="38"/>
      <c r="H8" s="38"/>
      <c r="I8" s="38"/>
    </row>
    <row r="9" spans="1:10" ht="53.25" customHeight="1" x14ac:dyDescent="0.25">
      <c r="A9" s="40" t="s">
        <v>11</v>
      </c>
      <c r="B9" s="726" t="s">
        <v>283</v>
      </c>
      <c r="C9" s="726"/>
      <c r="D9" s="726"/>
      <c r="E9" s="726"/>
      <c r="F9" s="38" t="s">
        <v>10</v>
      </c>
      <c r="G9" s="41">
        <v>1</v>
      </c>
      <c r="H9" s="42"/>
      <c r="I9" s="42">
        <f>G9*H9</f>
        <v>0</v>
      </c>
    </row>
    <row r="11" spans="1:10" ht="126" customHeight="1" x14ac:dyDescent="0.25">
      <c r="A11" s="40" t="s">
        <v>12</v>
      </c>
      <c r="B11" s="726" t="s">
        <v>284</v>
      </c>
      <c r="C11" s="726"/>
      <c r="D11" s="726"/>
      <c r="E11" s="726"/>
      <c r="F11" s="38"/>
      <c r="G11" s="41"/>
      <c r="H11" s="42"/>
      <c r="I11" s="42"/>
    </row>
    <row r="12" spans="1:10" ht="15.6" x14ac:dyDescent="0.25">
      <c r="B12" s="2" t="s">
        <v>185</v>
      </c>
      <c r="F12" s="38" t="s">
        <v>186</v>
      </c>
      <c r="G12" s="41">
        <f>((1.8*1.8*2)+0.6*1.2*(21.22+27.58+5))*0.8</f>
        <v>36.172799999999995</v>
      </c>
      <c r="H12" s="42"/>
      <c r="I12" s="42">
        <f>G12*H12</f>
        <v>0</v>
      </c>
    </row>
    <row r="13" spans="1:10" ht="15.6" x14ac:dyDescent="0.25">
      <c r="B13" s="2" t="s">
        <v>272</v>
      </c>
      <c r="F13" s="38" t="s">
        <v>186</v>
      </c>
      <c r="G13" s="41">
        <f>((1.8*1.8*2)+0.6*1.2*(21.22+27.58+5))*0.2</f>
        <v>9.0431999999999988</v>
      </c>
      <c r="H13" s="42"/>
      <c r="I13" s="42">
        <f>G13*H13</f>
        <v>0</v>
      </c>
    </row>
    <row r="15" spans="1:10" ht="26.25" customHeight="1" x14ac:dyDescent="0.25">
      <c r="A15" s="40" t="s">
        <v>13</v>
      </c>
      <c r="B15" s="726" t="s">
        <v>187</v>
      </c>
      <c r="C15" s="726"/>
      <c r="D15" s="726"/>
      <c r="E15" s="726"/>
      <c r="F15" s="38" t="s">
        <v>188</v>
      </c>
      <c r="G15" s="41">
        <f>((1.8*1.8)+0.6*(21.22+27.58+5))</f>
        <v>35.519999999999996</v>
      </c>
      <c r="H15" s="42"/>
      <c r="I15" s="42">
        <f>G15*H15</f>
        <v>0</v>
      </c>
    </row>
    <row r="16" spans="1:10" x14ac:dyDescent="0.25">
      <c r="A16" s="40"/>
      <c r="B16" s="34"/>
      <c r="C16" s="34"/>
      <c r="D16" s="34"/>
      <c r="E16" s="34"/>
      <c r="F16" s="38"/>
      <c r="G16" s="41"/>
      <c r="H16" s="42"/>
      <c r="I16" s="42"/>
    </row>
    <row r="17" spans="1:9" ht="54.75" customHeight="1" x14ac:dyDescent="0.25">
      <c r="A17" s="40" t="s">
        <v>14</v>
      </c>
      <c r="B17" s="726" t="s">
        <v>285</v>
      </c>
      <c r="C17" s="726" t="s">
        <v>189</v>
      </c>
      <c r="D17" s="726" t="s">
        <v>189</v>
      </c>
      <c r="E17" s="726" t="s">
        <v>189</v>
      </c>
      <c r="F17" s="38" t="s">
        <v>186</v>
      </c>
      <c r="G17" s="41">
        <f>1.8*1.8*0.2</f>
        <v>0.64800000000000013</v>
      </c>
      <c r="H17" s="42"/>
      <c r="I17" s="42">
        <f>G17*H17</f>
        <v>0</v>
      </c>
    </row>
    <row r="19" spans="1:9" ht="40.5" customHeight="1" x14ac:dyDescent="0.25">
      <c r="A19" s="40" t="s">
        <v>100</v>
      </c>
      <c r="B19" s="726" t="s">
        <v>190</v>
      </c>
      <c r="C19" s="726"/>
      <c r="D19" s="726"/>
      <c r="E19" s="726"/>
      <c r="F19" s="38" t="s">
        <v>186</v>
      </c>
      <c r="G19" s="41">
        <f>(0.6*(21.22+27.58+5))*0.1</f>
        <v>3.2279999999999998</v>
      </c>
      <c r="H19" s="42"/>
      <c r="I19" s="42">
        <f>G19*H19</f>
        <v>0</v>
      </c>
    </row>
    <row r="21" spans="1:9" ht="67.2" customHeight="1" x14ac:dyDescent="0.25">
      <c r="A21" s="40" t="s">
        <v>191</v>
      </c>
      <c r="B21" s="726" t="s">
        <v>192</v>
      </c>
      <c r="C21" s="726"/>
      <c r="D21" s="726"/>
      <c r="E21" s="726"/>
      <c r="F21" s="38" t="s">
        <v>186</v>
      </c>
      <c r="G21" s="41">
        <f>(0.6*(21.22+27.58+5))*0.3</f>
        <v>9.6839999999999975</v>
      </c>
      <c r="H21" s="42"/>
      <c r="I21" s="42">
        <f>G21*H21</f>
        <v>0</v>
      </c>
    </row>
    <row r="23" spans="1:9" ht="64.5" customHeight="1" x14ac:dyDescent="0.25">
      <c r="A23" s="40" t="s">
        <v>193</v>
      </c>
      <c r="B23" s="726" t="s">
        <v>194</v>
      </c>
      <c r="C23" s="726"/>
      <c r="D23" s="726"/>
      <c r="E23" s="726"/>
      <c r="F23" s="38" t="s">
        <v>186</v>
      </c>
      <c r="G23" s="41">
        <f>G12+G13-G19-G21</f>
        <v>32.303999999999995</v>
      </c>
      <c r="H23" s="42"/>
      <c r="I23" s="42">
        <f>G23*H23</f>
        <v>0</v>
      </c>
    </row>
    <row r="25" spans="1:9" ht="169.8" customHeight="1" x14ac:dyDescent="0.25">
      <c r="A25" s="40" t="s">
        <v>195</v>
      </c>
      <c r="B25" s="726" t="s">
        <v>286</v>
      </c>
      <c r="C25" s="726"/>
      <c r="D25" s="726"/>
      <c r="E25" s="726"/>
      <c r="F25" s="38" t="s">
        <v>10</v>
      </c>
      <c r="G25" s="41">
        <v>1</v>
      </c>
      <c r="H25" s="42"/>
      <c r="I25" s="42">
        <f>G25*H25</f>
        <v>0</v>
      </c>
    </row>
    <row r="26" spans="1:9" x14ac:dyDescent="0.25">
      <c r="A26" s="40"/>
      <c r="B26" s="34"/>
      <c r="C26" s="34"/>
      <c r="D26" s="34"/>
      <c r="E26" s="34"/>
      <c r="F26" s="38"/>
      <c r="G26" s="41"/>
      <c r="H26" s="42"/>
      <c r="I26" s="42"/>
    </row>
    <row r="27" spans="1:9" ht="54.75" customHeight="1" x14ac:dyDescent="0.25">
      <c r="A27" s="43" t="s">
        <v>196</v>
      </c>
      <c r="B27" s="733" t="s">
        <v>440</v>
      </c>
      <c r="C27" s="733"/>
      <c r="D27" s="733"/>
      <c r="E27" s="733"/>
      <c r="F27" s="39" t="s">
        <v>186</v>
      </c>
      <c r="G27" s="44">
        <f>(G12+G13-G23)*1.3</f>
        <v>16.785599999999999</v>
      </c>
      <c r="H27" s="45"/>
      <c r="I27" s="45">
        <f>G27*H27</f>
        <v>0</v>
      </c>
    </row>
    <row r="29" spans="1:9" x14ac:dyDescent="0.25">
      <c r="E29" s="46"/>
      <c r="F29" s="47" t="s">
        <v>198</v>
      </c>
      <c r="H29" s="48" t="s">
        <v>15</v>
      </c>
      <c r="I29" s="49">
        <f>SUM(I9:I27)</f>
        <v>0</v>
      </c>
    </row>
    <row r="32" spans="1:9" x14ac:dyDescent="0.25">
      <c r="A32" s="36" t="s">
        <v>199</v>
      </c>
      <c r="B32" s="37"/>
      <c r="C32" s="37"/>
      <c r="D32" s="37"/>
      <c r="E32" s="37"/>
      <c r="F32" s="38"/>
      <c r="G32" s="38"/>
      <c r="H32" s="38"/>
      <c r="I32" s="38"/>
    </row>
    <row r="33" spans="1:16" x14ac:dyDescent="0.25">
      <c r="A33" s="36"/>
      <c r="B33" s="37"/>
      <c r="C33" s="37"/>
      <c r="D33" s="37"/>
      <c r="E33" s="37"/>
      <c r="F33" s="38"/>
      <c r="G33" s="38"/>
      <c r="H33" s="38"/>
      <c r="I33" s="38"/>
    </row>
    <row r="34" spans="1:16" x14ac:dyDescent="0.25">
      <c r="A34" s="39" t="s">
        <v>4</v>
      </c>
      <c r="B34" s="734" t="s">
        <v>5</v>
      </c>
      <c r="C34" s="734"/>
      <c r="D34" s="734"/>
      <c r="E34" s="734"/>
      <c r="F34" s="39" t="s">
        <v>6</v>
      </c>
      <c r="G34" s="39" t="s">
        <v>7</v>
      </c>
      <c r="H34" s="39" t="s">
        <v>9</v>
      </c>
      <c r="I34" s="39" t="s">
        <v>8</v>
      </c>
    </row>
    <row r="36" spans="1:16" ht="111.6" customHeight="1" x14ac:dyDescent="0.25">
      <c r="A36" s="40" t="s">
        <v>16</v>
      </c>
      <c r="B36" s="726" t="s">
        <v>441</v>
      </c>
      <c r="C36" s="726"/>
      <c r="D36" s="726"/>
      <c r="E36" s="726"/>
      <c r="F36" s="38" t="s">
        <v>10</v>
      </c>
      <c r="G36" s="41">
        <v>1</v>
      </c>
      <c r="H36" s="42"/>
      <c r="I36" s="42">
        <f>G36*H36</f>
        <v>0</v>
      </c>
    </row>
    <row r="37" spans="1:16" x14ac:dyDescent="0.25">
      <c r="B37" s="52"/>
      <c r="C37" s="52"/>
      <c r="D37" s="52"/>
      <c r="E37" s="52"/>
      <c r="F37" s="52"/>
      <c r="G37" s="52"/>
      <c r="H37" s="52"/>
      <c r="I37" s="52"/>
      <c r="J37" s="52"/>
      <c r="K37" s="52"/>
      <c r="L37" s="52"/>
      <c r="M37" s="52"/>
      <c r="N37" s="52"/>
      <c r="O37" s="52"/>
      <c r="P37" s="52"/>
    </row>
    <row r="38" spans="1:16" ht="56.25" customHeight="1" x14ac:dyDescent="0.25">
      <c r="A38" s="40" t="s">
        <v>17</v>
      </c>
      <c r="B38" s="726" t="s">
        <v>442</v>
      </c>
      <c r="C38" s="726"/>
      <c r="D38" s="726"/>
      <c r="E38" s="726"/>
      <c r="F38" s="38"/>
      <c r="G38" s="41"/>
      <c r="H38" s="42"/>
      <c r="I38" s="42"/>
      <c r="J38" s="52"/>
      <c r="K38" s="52"/>
      <c r="L38" s="52"/>
      <c r="M38" s="52"/>
      <c r="N38" s="52"/>
      <c r="O38" s="52"/>
      <c r="P38" s="52"/>
    </row>
    <row r="39" spans="1:16" x14ac:dyDescent="0.25">
      <c r="A39" s="40"/>
      <c r="B39" s="50" t="s">
        <v>200</v>
      </c>
      <c r="D39" s="50"/>
      <c r="E39" s="51"/>
      <c r="F39" s="38" t="s">
        <v>19</v>
      </c>
      <c r="G39" s="41">
        <v>40</v>
      </c>
      <c r="H39" s="42"/>
      <c r="I39" s="42">
        <f>G39*H39</f>
        <v>0</v>
      </c>
      <c r="J39" s="52"/>
      <c r="K39" s="52"/>
      <c r="L39" s="52"/>
      <c r="M39" s="52"/>
      <c r="N39" s="52"/>
      <c r="O39" s="52"/>
      <c r="P39" s="52"/>
    </row>
    <row r="40" spans="1:16" x14ac:dyDescent="0.25">
      <c r="B40" s="50"/>
      <c r="C40" s="52"/>
      <c r="D40" s="52"/>
      <c r="E40" s="52"/>
      <c r="F40" s="38"/>
      <c r="G40" s="41"/>
      <c r="H40" s="42"/>
      <c r="I40" s="42"/>
      <c r="J40" s="52"/>
      <c r="K40" s="52"/>
      <c r="L40" s="52"/>
      <c r="M40" s="52"/>
      <c r="N40" s="52"/>
      <c r="O40" s="52"/>
      <c r="P40" s="52"/>
    </row>
    <row r="41" spans="1:16" ht="135" customHeight="1" x14ac:dyDescent="0.25">
      <c r="A41" s="40" t="s">
        <v>18</v>
      </c>
      <c r="B41" s="726" t="s">
        <v>201</v>
      </c>
      <c r="C41" s="726"/>
      <c r="D41" s="726"/>
      <c r="E41" s="726"/>
      <c r="F41" s="38"/>
      <c r="G41" s="41"/>
      <c r="H41" s="42"/>
      <c r="I41" s="42"/>
      <c r="J41" s="52"/>
      <c r="K41" s="52"/>
      <c r="L41" s="52"/>
      <c r="M41" s="52"/>
      <c r="N41" s="52"/>
      <c r="O41" s="52"/>
      <c r="P41" s="52"/>
    </row>
    <row r="42" spans="1:16" x14ac:dyDescent="0.25">
      <c r="B42" s="50" t="s">
        <v>202</v>
      </c>
      <c r="D42" s="50"/>
      <c r="E42" s="51"/>
      <c r="F42" s="38" t="s">
        <v>19</v>
      </c>
      <c r="G42" s="41">
        <f>2.7+2.5+1.8+0.8+0.9+2.8+10.95</f>
        <v>22.45</v>
      </c>
      <c r="H42" s="42"/>
      <c r="I42" s="42">
        <f>G42*H42</f>
        <v>0</v>
      </c>
    </row>
    <row r="43" spans="1:16" x14ac:dyDescent="0.25">
      <c r="B43" s="50" t="s">
        <v>203</v>
      </c>
      <c r="D43" s="50"/>
      <c r="E43" s="51"/>
      <c r="F43" s="38" t="s">
        <v>19</v>
      </c>
      <c r="G43" s="41">
        <f>2.9+3.7+2</f>
        <v>8.6</v>
      </c>
      <c r="H43" s="42"/>
      <c r="I43" s="42">
        <f>G43*H43</f>
        <v>0</v>
      </c>
    </row>
    <row r="44" spans="1:16" x14ac:dyDescent="0.25">
      <c r="A44" s="40"/>
      <c r="B44" s="50" t="s">
        <v>204</v>
      </c>
      <c r="D44" s="50"/>
      <c r="E44" s="51"/>
      <c r="F44" s="38" t="s">
        <v>19</v>
      </c>
      <c r="G44" s="41">
        <f>5</f>
        <v>5</v>
      </c>
      <c r="H44" s="42"/>
      <c r="I44" s="42">
        <f>G44*H44</f>
        <v>0</v>
      </c>
    </row>
    <row r="45" spans="1:16" ht="136.80000000000001" customHeight="1" x14ac:dyDescent="0.25">
      <c r="A45" s="40" t="s">
        <v>20</v>
      </c>
      <c r="B45" s="726" t="s">
        <v>205</v>
      </c>
      <c r="C45" s="726"/>
      <c r="D45" s="726"/>
      <c r="E45" s="726"/>
      <c r="F45" s="38"/>
      <c r="G45" s="41"/>
      <c r="H45" s="42"/>
      <c r="I45" s="42"/>
    </row>
    <row r="46" spans="1:16" x14ac:dyDescent="0.25">
      <c r="B46" s="50" t="s">
        <v>202</v>
      </c>
      <c r="D46" s="50"/>
      <c r="E46" s="51"/>
      <c r="F46" s="38" t="s">
        <v>19</v>
      </c>
      <c r="G46" s="41">
        <v>6</v>
      </c>
      <c r="H46" s="42"/>
      <c r="I46" s="42">
        <f>G46*H46</f>
        <v>0</v>
      </c>
    </row>
    <row r="48" spans="1:16" ht="53.25" customHeight="1" x14ac:dyDescent="0.25">
      <c r="A48" s="40" t="s">
        <v>21</v>
      </c>
      <c r="B48" s="726" t="s">
        <v>206</v>
      </c>
      <c r="C48" s="726"/>
      <c r="D48" s="726"/>
      <c r="E48" s="726"/>
      <c r="F48" s="38"/>
      <c r="G48" s="41"/>
      <c r="H48" s="42"/>
      <c r="I48" s="42"/>
    </row>
    <row r="49" spans="1:10" x14ac:dyDescent="0.25">
      <c r="A49" s="40"/>
      <c r="B49" s="50" t="s">
        <v>207</v>
      </c>
      <c r="D49" s="50"/>
      <c r="E49" s="51"/>
      <c r="F49" s="38" t="s">
        <v>86</v>
      </c>
      <c r="G49" s="41">
        <v>5</v>
      </c>
      <c r="H49" s="42"/>
      <c r="I49" s="42">
        <f>G49*H49</f>
        <v>0</v>
      </c>
    </row>
    <row r="50" spans="1:10" x14ac:dyDescent="0.25">
      <c r="B50" s="50" t="s">
        <v>208</v>
      </c>
      <c r="D50" s="50"/>
      <c r="E50" s="51"/>
      <c r="F50" s="38" t="s">
        <v>86</v>
      </c>
      <c r="G50" s="41">
        <v>4</v>
      </c>
      <c r="H50" s="42"/>
      <c r="I50" s="42">
        <f>G50*H50</f>
        <v>0</v>
      </c>
    </row>
    <row r="52" spans="1:10" ht="109.8" customHeight="1" x14ac:dyDescent="0.25">
      <c r="A52" s="40" t="s">
        <v>22</v>
      </c>
      <c r="B52" s="726" t="s">
        <v>210</v>
      </c>
      <c r="C52" s="726"/>
      <c r="D52" s="726"/>
      <c r="E52" s="726"/>
      <c r="F52" s="38" t="s">
        <v>10</v>
      </c>
      <c r="G52" s="41">
        <v>1</v>
      </c>
      <c r="H52" s="42"/>
      <c r="I52" s="42">
        <f>G52*H52</f>
        <v>0</v>
      </c>
    </row>
    <row r="54" spans="1:10" ht="43.5" customHeight="1" x14ac:dyDescent="0.25">
      <c r="A54" s="43" t="s">
        <v>83</v>
      </c>
      <c r="B54" s="733" t="s">
        <v>211</v>
      </c>
      <c r="C54" s="733"/>
      <c r="D54" s="733"/>
      <c r="E54" s="733"/>
      <c r="F54" s="39" t="s">
        <v>10</v>
      </c>
      <c r="G54" s="44">
        <v>1</v>
      </c>
      <c r="H54" s="45"/>
      <c r="I54" s="45">
        <f>G54*H54</f>
        <v>0</v>
      </c>
    </row>
    <row r="56" spans="1:10" x14ac:dyDescent="0.25">
      <c r="E56" s="46"/>
      <c r="F56" s="47" t="s">
        <v>212</v>
      </c>
      <c r="H56" s="48" t="s">
        <v>15</v>
      </c>
      <c r="I56" s="49">
        <f>SUM(I37:I54)</f>
        <v>0</v>
      </c>
    </row>
    <row r="57" spans="1:10" x14ac:dyDescent="0.25">
      <c r="E57" s="46"/>
      <c r="F57" s="47"/>
      <c r="H57" s="48"/>
      <c r="I57" s="49"/>
    </row>
    <row r="58" spans="1:10" x14ac:dyDescent="0.25">
      <c r="E58" s="46"/>
      <c r="F58" s="47"/>
      <c r="H58" s="48"/>
      <c r="I58" s="49"/>
    </row>
    <row r="59" spans="1:10" x14ac:dyDescent="0.25">
      <c r="A59" s="36" t="s">
        <v>213</v>
      </c>
      <c r="B59" s="37"/>
      <c r="C59" s="37"/>
      <c r="D59" s="37"/>
      <c r="E59" s="37"/>
      <c r="F59" s="38"/>
      <c r="G59" s="38"/>
      <c r="H59" s="38"/>
      <c r="I59" s="38"/>
    </row>
    <row r="60" spans="1:10" x14ac:dyDescent="0.25">
      <c r="A60" s="36"/>
      <c r="B60" s="37"/>
      <c r="C60" s="37"/>
      <c r="D60" s="37"/>
      <c r="E60" s="37"/>
      <c r="F60" s="38"/>
      <c r="G60" s="38"/>
      <c r="H60" s="38"/>
      <c r="I60" s="38"/>
    </row>
    <row r="61" spans="1:10" x14ac:dyDescent="0.25">
      <c r="A61" s="39" t="s">
        <v>4</v>
      </c>
      <c r="B61" s="734" t="s">
        <v>5</v>
      </c>
      <c r="C61" s="734"/>
      <c r="D61" s="734"/>
      <c r="E61" s="734"/>
      <c r="F61" s="39" t="s">
        <v>6</v>
      </c>
      <c r="G61" s="39" t="s">
        <v>7</v>
      </c>
      <c r="H61" s="39" t="s">
        <v>9</v>
      </c>
      <c r="I61" s="39" t="s">
        <v>8</v>
      </c>
    </row>
    <row r="62" spans="1:10" x14ac:dyDescent="0.25">
      <c r="A62" s="38"/>
      <c r="B62" s="37"/>
      <c r="C62" s="37"/>
      <c r="D62" s="37"/>
      <c r="E62" s="37"/>
      <c r="F62" s="38"/>
      <c r="G62" s="38"/>
      <c r="H62" s="38"/>
      <c r="I62" s="38"/>
    </row>
    <row r="63" spans="1:10" ht="107.25" customHeight="1" x14ac:dyDescent="0.25">
      <c r="A63" s="40" t="s">
        <v>23</v>
      </c>
      <c r="B63" s="726" t="s">
        <v>214</v>
      </c>
      <c r="C63" s="726"/>
      <c r="D63" s="726"/>
      <c r="E63" s="726"/>
      <c r="F63" s="38" t="s">
        <v>86</v>
      </c>
      <c r="G63" s="41">
        <v>4</v>
      </c>
      <c r="H63" s="42"/>
      <c r="I63" s="42">
        <f>G63*H63</f>
        <v>0</v>
      </c>
      <c r="J63" s="702" t="s">
        <v>1781</v>
      </c>
    </row>
    <row r="64" spans="1:10" x14ac:dyDescent="0.25">
      <c r="E64" s="46"/>
      <c r="F64" s="47"/>
      <c r="H64" s="48"/>
      <c r="I64" s="49"/>
    </row>
    <row r="65" spans="1:10" ht="156.75" customHeight="1" x14ac:dyDescent="0.25">
      <c r="A65" s="40" t="s">
        <v>24</v>
      </c>
      <c r="B65" s="726" t="s">
        <v>287</v>
      </c>
      <c r="C65" s="726"/>
      <c r="D65" s="726"/>
      <c r="E65" s="726"/>
      <c r="F65" s="38" t="s">
        <v>86</v>
      </c>
      <c r="G65" s="41">
        <v>4</v>
      </c>
      <c r="H65" s="42"/>
      <c r="I65" s="42">
        <f>G65*H65</f>
        <v>0</v>
      </c>
      <c r="J65" s="702" t="s">
        <v>1781</v>
      </c>
    </row>
    <row r="66" spans="1:10" x14ac:dyDescent="0.25">
      <c r="E66" s="46"/>
      <c r="F66" s="47"/>
      <c r="H66" s="48"/>
      <c r="I66" s="49"/>
    </row>
    <row r="67" spans="1:10" ht="181.8" customHeight="1" x14ac:dyDescent="0.25">
      <c r="A67" s="40" t="s">
        <v>25</v>
      </c>
      <c r="B67" s="726" t="s">
        <v>215</v>
      </c>
      <c r="C67" s="726"/>
      <c r="D67" s="726"/>
      <c r="E67" s="726"/>
      <c r="F67" s="38" t="s">
        <v>86</v>
      </c>
      <c r="G67" s="41">
        <v>1</v>
      </c>
      <c r="H67" s="42"/>
      <c r="I67" s="42">
        <f>G67*H67</f>
        <v>0</v>
      </c>
      <c r="J67" s="702" t="s">
        <v>1781</v>
      </c>
    </row>
    <row r="68" spans="1:10" x14ac:dyDescent="0.25">
      <c r="E68" s="46"/>
      <c r="F68" s="47"/>
      <c r="H68" s="48"/>
      <c r="I68" s="49"/>
    </row>
    <row r="69" spans="1:10" ht="117.6" customHeight="1" x14ac:dyDescent="0.25">
      <c r="A69" s="40" t="s">
        <v>26</v>
      </c>
      <c r="B69" s="726" t="s">
        <v>288</v>
      </c>
      <c r="C69" s="726"/>
      <c r="D69" s="726"/>
      <c r="E69" s="726"/>
      <c r="F69" s="38" t="s">
        <v>86</v>
      </c>
      <c r="G69" s="41">
        <v>2</v>
      </c>
      <c r="H69" s="42"/>
      <c r="I69" s="42">
        <f>G69*H69</f>
        <v>0</v>
      </c>
      <c r="J69" s="702" t="s">
        <v>1781</v>
      </c>
    </row>
    <row r="70" spans="1:10" x14ac:dyDescent="0.25">
      <c r="A70" s="40"/>
      <c r="B70" s="34"/>
      <c r="C70" s="34"/>
      <c r="D70" s="34"/>
      <c r="E70" s="34"/>
      <c r="F70" s="38"/>
      <c r="G70" s="41"/>
      <c r="H70" s="42"/>
      <c r="I70" s="42"/>
    </row>
    <row r="71" spans="1:10" ht="107.25" customHeight="1" x14ac:dyDescent="0.25">
      <c r="A71" s="40" t="s">
        <v>27</v>
      </c>
      <c r="B71" s="726" t="s">
        <v>216</v>
      </c>
      <c r="C71" s="726"/>
      <c r="D71" s="726"/>
      <c r="E71" s="726"/>
      <c r="F71" s="38" t="s">
        <v>86</v>
      </c>
      <c r="G71" s="41">
        <v>1</v>
      </c>
      <c r="H71" s="42"/>
      <c r="I71" s="42">
        <f>G71*H71</f>
        <v>0</v>
      </c>
      <c r="J71" s="702" t="s">
        <v>1781</v>
      </c>
    </row>
    <row r="72" spans="1:10" x14ac:dyDescent="0.25">
      <c r="A72" s="40"/>
      <c r="B72" s="34"/>
      <c r="C72" s="34"/>
      <c r="D72" s="34"/>
      <c r="E72" s="34"/>
      <c r="F72" s="38"/>
      <c r="G72" s="41"/>
      <c r="H72" s="42"/>
      <c r="I72" s="42"/>
    </row>
    <row r="73" spans="1:10" ht="66" customHeight="1" x14ac:dyDescent="0.25">
      <c r="A73" s="40" t="s">
        <v>63</v>
      </c>
      <c r="B73" s="726" t="s">
        <v>217</v>
      </c>
      <c r="C73" s="726"/>
      <c r="D73" s="726"/>
      <c r="E73" s="726"/>
      <c r="F73" s="38" t="s">
        <v>86</v>
      </c>
      <c r="G73" s="41">
        <v>4</v>
      </c>
      <c r="H73" s="42"/>
      <c r="I73" s="42">
        <f>G73*H73</f>
        <v>0</v>
      </c>
      <c r="J73" s="702" t="s">
        <v>1781</v>
      </c>
    </row>
    <row r="74" spans="1:10" ht="52.5" customHeight="1" x14ac:dyDescent="0.25">
      <c r="A74" s="40" t="s">
        <v>64</v>
      </c>
      <c r="B74" s="726" t="s">
        <v>218</v>
      </c>
      <c r="C74" s="726"/>
      <c r="D74" s="726"/>
      <c r="E74" s="726"/>
      <c r="F74" s="38"/>
      <c r="G74" s="41"/>
      <c r="H74" s="42"/>
      <c r="I74" s="42"/>
    </row>
    <row r="75" spans="1:10" x14ac:dyDescent="0.25">
      <c r="A75" s="40"/>
      <c r="B75" s="736" t="s">
        <v>219</v>
      </c>
      <c r="C75" s="736"/>
      <c r="D75" s="736"/>
      <c r="E75" s="736"/>
      <c r="F75" s="38" t="s">
        <v>86</v>
      </c>
      <c r="G75" s="41">
        <v>4</v>
      </c>
      <c r="H75" s="42"/>
      <c r="I75" s="42">
        <f>G75*H75</f>
        <v>0</v>
      </c>
    </row>
    <row r="76" spans="1:10" x14ac:dyDescent="0.25">
      <c r="A76" s="40"/>
      <c r="B76" s="736" t="s">
        <v>220</v>
      </c>
      <c r="C76" s="736"/>
      <c r="D76" s="736"/>
      <c r="E76" s="736"/>
      <c r="F76" s="38" t="s">
        <v>86</v>
      </c>
      <c r="G76" s="41">
        <v>4</v>
      </c>
      <c r="H76" s="42"/>
      <c r="I76" s="42">
        <f>G76*H76</f>
        <v>0</v>
      </c>
    </row>
    <row r="77" spans="1:10" x14ac:dyDescent="0.25">
      <c r="A77" s="40"/>
      <c r="B77" s="736" t="s">
        <v>221</v>
      </c>
      <c r="C77" s="736"/>
      <c r="D77" s="736"/>
      <c r="E77" s="736"/>
      <c r="F77" s="38" t="s">
        <v>86</v>
      </c>
      <c r="G77" s="41">
        <v>4</v>
      </c>
      <c r="H77" s="42"/>
      <c r="I77" s="42">
        <f>G77*H77</f>
        <v>0</v>
      </c>
    </row>
    <row r="78" spans="1:10" x14ac:dyDescent="0.25">
      <c r="A78" s="53"/>
      <c r="B78" s="737" t="s">
        <v>222</v>
      </c>
      <c r="C78" s="737"/>
      <c r="D78" s="737"/>
      <c r="E78" s="737"/>
      <c r="F78" s="54" t="s">
        <v>86</v>
      </c>
      <c r="G78" s="55">
        <v>4</v>
      </c>
      <c r="H78" s="56"/>
      <c r="I78" s="42">
        <f>G78*H78</f>
        <v>0</v>
      </c>
    </row>
    <row r="79" spans="1:10" x14ac:dyDescent="0.25">
      <c r="A79" s="43"/>
      <c r="B79" s="738" t="s">
        <v>223</v>
      </c>
      <c r="C79" s="738"/>
      <c r="D79" s="738"/>
      <c r="E79" s="738"/>
      <c r="F79" s="39" t="s">
        <v>86</v>
      </c>
      <c r="G79" s="44">
        <v>4</v>
      </c>
      <c r="H79" s="45"/>
      <c r="I79" s="45">
        <f>G79*H79</f>
        <v>0</v>
      </c>
    </row>
    <row r="80" spans="1:10" x14ac:dyDescent="0.25">
      <c r="A80" s="40"/>
      <c r="B80" s="34"/>
      <c r="C80" s="34"/>
      <c r="D80" s="34"/>
      <c r="E80" s="34"/>
      <c r="F80" s="38"/>
      <c r="G80" s="41"/>
      <c r="H80" s="42"/>
      <c r="I80" s="42"/>
    </row>
    <row r="81" spans="1:9" x14ac:dyDescent="0.25">
      <c r="E81" s="46"/>
      <c r="F81" s="47" t="s">
        <v>224</v>
      </c>
      <c r="H81" s="48" t="s">
        <v>15</v>
      </c>
      <c r="I81" s="49">
        <f>SUM(I63:I79)</f>
        <v>0</v>
      </c>
    </row>
    <row r="82" spans="1:9" x14ac:dyDescent="0.25">
      <c r="E82" s="46"/>
      <c r="F82" s="47"/>
      <c r="H82" s="48"/>
      <c r="I82" s="49"/>
    </row>
    <row r="85" spans="1:9" x14ac:dyDescent="0.25">
      <c r="A85" s="36" t="s">
        <v>225</v>
      </c>
    </row>
    <row r="86" spans="1:9" x14ac:dyDescent="0.25">
      <c r="A86" s="36"/>
    </row>
    <row r="87" spans="1:9" x14ac:dyDescent="0.25">
      <c r="A87" s="36" t="s">
        <v>226</v>
      </c>
      <c r="B87" s="37"/>
      <c r="C87" s="37"/>
      <c r="D87" s="37"/>
      <c r="E87" s="37"/>
      <c r="F87" s="38"/>
      <c r="G87" s="38"/>
      <c r="H87" s="38"/>
      <c r="I87" s="38"/>
    </row>
    <row r="88" spans="1:9" x14ac:dyDescent="0.25">
      <c r="A88" s="36"/>
      <c r="B88" s="37"/>
      <c r="C88" s="37"/>
      <c r="D88" s="37"/>
      <c r="E88" s="37"/>
      <c r="F88" s="38"/>
      <c r="G88" s="38"/>
      <c r="H88" s="38"/>
      <c r="I88" s="38"/>
    </row>
    <row r="89" spans="1:9" x14ac:dyDescent="0.25">
      <c r="A89" s="39" t="s">
        <v>4</v>
      </c>
      <c r="B89" s="734" t="s">
        <v>5</v>
      </c>
      <c r="C89" s="734"/>
      <c r="D89" s="734"/>
      <c r="E89" s="734"/>
      <c r="F89" s="39" t="s">
        <v>6</v>
      </c>
      <c r="G89" s="39" t="s">
        <v>7</v>
      </c>
      <c r="H89" s="39" t="s">
        <v>9</v>
      </c>
      <c r="I89" s="39" t="s">
        <v>8</v>
      </c>
    </row>
    <row r="91" spans="1:9" ht="53.25" customHeight="1" x14ac:dyDescent="0.25">
      <c r="A91" s="40" t="s">
        <v>28</v>
      </c>
      <c r="B91" s="726" t="s">
        <v>227</v>
      </c>
      <c r="C91" s="726"/>
      <c r="D91" s="726"/>
      <c r="E91" s="726"/>
      <c r="F91" s="54" t="s">
        <v>10</v>
      </c>
      <c r="G91" s="55">
        <v>1</v>
      </c>
      <c r="H91" s="56"/>
      <c r="I91" s="42">
        <f>G91*H91</f>
        <v>0</v>
      </c>
    </row>
    <row r="93" spans="1:9" ht="157.19999999999999" customHeight="1" x14ac:dyDescent="0.25">
      <c r="A93" s="40" t="s">
        <v>29</v>
      </c>
      <c r="B93" s="726" t="s">
        <v>289</v>
      </c>
      <c r="C93" s="726"/>
      <c r="D93" s="726"/>
      <c r="E93" s="726"/>
      <c r="F93" s="38"/>
      <c r="G93" s="41"/>
      <c r="H93" s="42"/>
      <c r="I93" s="42"/>
    </row>
    <row r="94" spans="1:9" ht="15.6" x14ac:dyDescent="0.25">
      <c r="B94" s="2" t="s">
        <v>185</v>
      </c>
      <c r="F94" s="38" t="s">
        <v>186</v>
      </c>
      <c r="G94" s="41">
        <f>((60.4*0.8*1.2)+(33.5*0.8*1.2)+(4*1.6*1.6*1.6))*0.8</f>
        <v>85.222399999999993</v>
      </c>
      <c r="H94" s="42"/>
      <c r="I94" s="42">
        <f>G94*H94</f>
        <v>0</v>
      </c>
    </row>
    <row r="95" spans="1:9" ht="15.6" x14ac:dyDescent="0.25">
      <c r="B95" s="2" t="s">
        <v>272</v>
      </c>
      <c r="F95" s="38" t="s">
        <v>186</v>
      </c>
      <c r="G95" s="41">
        <f>((60.4*0.8*1.2)+(33.5*0.8*1.2)+(4*1.6*1.6*1.6))*0.2</f>
        <v>21.305599999999998</v>
      </c>
      <c r="H95" s="42"/>
      <c r="I95" s="42">
        <f>G95*H95</f>
        <v>0</v>
      </c>
    </row>
    <row r="97" spans="1:9" ht="25.5" customHeight="1" x14ac:dyDescent="0.25">
      <c r="A97" s="40" t="s">
        <v>228</v>
      </c>
      <c r="B97" s="726" t="s">
        <v>187</v>
      </c>
      <c r="C97" s="726"/>
      <c r="D97" s="726"/>
      <c r="E97" s="726"/>
      <c r="F97" s="38" t="s">
        <v>188</v>
      </c>
      <c r="G97" s="41">
        <f>((60.4*0.8)+(33.5*0.8)+(4*1.6*1.6))</f>
        <v>85.360000000000014</v>
      </c>
      <c r="H97" s="42"/>
      <c r="I97" s="42">
        <f>G97*H97</f>
        <v>0</v>
      </c>
    </row>
    <row r="98" spans="1:9" x14ac:dyDescent="0.25">
      <c r="A98" s="40"/>
      <c r="B98" s="34"/>
      <c r="C98" s="34"/>
      <c r="D98" s="34"/>
      <c r="E98" s="34"/>
      <c r="F98" s="38"/>
      <c r="G98" s="41"/>
      <c r="H98" s="42"/>
      <c r="I98" s="42"/>
    </row>
    <row r="99" spans="1:9" ht="54.75" customHeight="1" x14ac:dyDescent="0.25">
      <c r="A99" s="40" t="s">
        <v>229</v>
      </c>
      <c r="B99" s="726" t="s">
        <v>290</v>
      </c>
      <c r="C99" s="726" t="s">
        <v>189</v>
      </c>
      <c r="D99" s="726" t="s">
        <v>189</v>
      </c>
      <c r="E99" s="726" t="s">
        <v>189</v>
      </c>
      <c r="F99" s="38" t="s">
        <v>186</v>
      </c>
      <c r="G99" s="41">
        <f>(4*1.6*1.6*0.2)</f>
        <v>2.0480000000000005</v>
      </c>
      <c r="H99" s="42"/>
      <c r="I99" s="42">
        <f>G99*H99</f>
        <v>0</v>
      </c>
    </row>
    <row r="101" spans="1:9" ht="39.75" customHeight="1" x14ac:dyDescent="0.25">
      <c r="A101" s="40" t="s">
        <v>230</v>
      </c>
      <c r="B101" s="726" t="s">
        <v>190</v>
      </c>
      <c r="C101" s="726"/>
      <c r="D101" s="726"/>
      <c r="E101" s="726"/>
      <c r="F101" s="38" t="s">
        <v>186</v>
      </c>
      <c r="G101" s="41">
        <f>((60.4*0.8*0.1)+(33.5*0.8*0.1))</f>
        <v>7.5120000000000005</v>
      </c>
      <c r="H101" s="42"/>
      <c r="I101" s="42">
        <f>G101*H101</f>
        <v>0</v>
      </c>
    </row>
    <row r="103" spans="1:9" ht="70.2" customHeight="1" x14ac:dyDescent="0.25">
      <c r="A103" s="40" t="s">
        <v>231</v>
      </c>
      <c r="B103" s="726" t="s">
        <v>192</v>
      </c>
      <c r="C103" s="726"/>
      <c r="D103" s="726"/>
      <c r="E103" s="726"/>
      <c r="F103" s="38" t="s">
        <v>186</v>
      </c>
      <c r="G103" s="41">
        <f>((60.4*0.8*0.3)+(33.5*0.8*0.3))</f>
        <v>22.535999999999998</v>
      </c>
      <c r="H103" s="42"/>
      <c r="I103" s="42">
        <f>G103*H103</f>
        <v>0</v>
      </c>
    </row>
    <row r="105" spans="1:9" ht="73.8" customHeight="1" x14ac:dyDescent="0.25">
      <c r="A105" s="40" t="s">
        <v>232</v>
      </c>
      <c r="B105" s="726" t="s">
        <v>233</v>
      </c>
      <c r="C105" s="726"/>
      <c r="D105" s="726"/>
      <c r="E105" s="726"/>
      <c r="F105" s="38" t="s">
        <v>186</v>
      </c>
      <c r="G105" s="41">
        <f>G94+G95-G99-G101-G103</f>
        <v>74.431999999999988</v>
      </c>
      <c r="H105" s="42"/>
      <c r="I105" s="42">
        <f>G105*H105</f>
        <v>0</v>
      </c>
    </row>
    <row r="107" spans="1:9" ht="52.5" customHeight="1" x14ac:dyDescent="0.25">
      <c r="A107" s="40" t="s">
        <v>234</v>
      </c>
      <c r="B107" s="726" t="s">
        <v>324</v>
      </c>
      <c r="C107" s="726"/>
      <c r="D107" s="726"/>
      <c r="E107" s="726"/>
      <c r="F107" s="38" t="s">
        <v>186</v>
      </c>
      <c r="G107" s="41">
        <f>(G94+G95-G105)*1.3</f>
        <v>41.724800000000009</v>
      </c>
      <c r="H107" s="42"/>
      <c r="I107" s="42">
        <f>G107*H107</f>
        <v>0</v>
      </c>
    </row>
    <row r="109" spans="1:9" ht="148.80000000000001" customHeight="1" x14ac:dyDescent="0.25">
      <c r="A109" s="43" t="s">
        <v>235</v>
      </c>
      <c r="B109" s="733" t="s">
        <v>291</v>
      </c>
      <c r="C109" s="733"/>
      <c r="D109" s="733"/>
      <c r="E109" s="733"/>
      <c r="F109" s="39" t="s">
        <v>10</v>
      </c>
      <c r="G109" s="44">
        <v>4</v>
      </c>
      <c r="H109" s="45"/>
      <c r="I109" s="45">
        <f>G109*H109</f>
        <v>0</v>
      </c>
    </row>
    <row r="111" spans="1:9" x14ac:dyDescent="0.25">
      <c r="E111" s="46"/>
      <c r="F111" s="47" t="s">
        <v>236</v>
      </c>
      <c r="H111" s="48" t="s">
        <v>15</v>
      </c>
      <c r="I111" s="49">
        <f>SUM(I91:I109)</f>
        <v>0</v>
      </c>
    </row>
    <row r="114" spans="1:9" x14ac:dyDescent="0.25">
      <c r="A114" s="36" t="s">
        <v>237</v>
      </c>
      <c r="B114" s="37"/>
      <c r="C114" s="37"/>
      <c r="D114" s="37"/>
      <c r="E114" s="37"/>
      <c r="F114" s="38"/>
      <c r="G114" s="38"/>
      <c r="H114" s="38"/>
      <c r="I114" s="38"/>
    </row>
    <row r="115" spans="1:9" x14ac:dyDescent="0.25">
      <c r="A115" s="36"/>
      <c r="B115" s="37"/>
      <c r="C115" s="37"/>
      <c r="D115" s="37"/>
      <c r="E115" s="37"/>
      <c r="F115" s="38"/>
      <c r="G115" s="38"/>
      <c r="H115" s="38"/>
      <c r="I115" s="38"/>
    </row>
    <row r="116" spans="1:9" x14ac:dyDescent="0.25">
      <c r="A116" s="39" t="s">
        <v>4</v>
      </c>
      <c r="B116" s="734" t="s">
        <v>5</v>
      </c>
      <c r="C116" s="734"/>
      <c r="D116" s="734"/>
      <c r="E116" s="734"/>
      <c r="F116" s="39" t="s">
        <v>6</v>
      </c>
      <c r="G116" s="39" t="s">
        <v>7</v>
      </c>
      <c r="H116" s="39" t="s">
        <v>9</v>
      </c>
      <c r="I116" s="39" t="s">
        <v>8</v>
      </c>
    </row>
    <row r="118" spans="1:9" ht="71.25" customHeight="1" x14ac:dyDescent="0.25">
      <c r="A118" s="40" t="s">
        <v>30</v>
      </c>
      <c r="B118" s="726" t="s">
        <v>443</v>
      </c>
      <c r="C118" s="726"/>
      <c r="D118" s="726"/>
      <c r="E118" s="726"/>
      <c r="F118" s="38" t="s">
        <v>10</v>
      </c>
      <c r="G118" s="41">
        <v>1</v>
      </c>
      <c r="H118" s="42"/>
      <c r="I118" s="42">
        <f>G118*H118</f>
        <v>0</v>
      </c>
    </row>
    <row r="120" spans="1:9" ht="105" customHeight="1" x14ac:dyDescent="0.25">
      <c r="A120" s="40" t="s">
        <v>31</v>
      </c>
      <c r="B120" s="726" t="s">
        <v>238</v>
      </c>
      <c r="C120" s="726"/>
      <c r="D120" s="726"/>
      <c r="E120" s="726"/>
      <c r="F120" s="38"/>
      <c r="G120" s="41"/>
      <c r="H120" s="42"/>
      <c r="I120" s="42"/>
    </row>
    <row r="121" spans="1:9" x14ac:dyDescent="0.25">
      <c r="B121" s="50" t="s">
        <v>239</v>
      </c>
      <c r="D121" s="50"/>
      <c r="E121" s="51"/>
      <c r="F121" s="38" t="s">
        <v>19</v>
      </c>
      <c r="G121" s="41">
        <f>2.2+2.3+2.2+9.8+2.2</f>
        <v>18.7</v>
      </c>
      <c r="H121" s="42"/>
      <c r="I121" s="42">
        <f>G121*H121</f>
        <v>0</v>
      </c>
    </row>
    <row r="122" spans="1:9" x14ac:dyDescent="0.25">
      <c r="B122" s="50" t="s">
        <v>240</v>
      </c>
      <c r="D122" s="50"/>
      <c r="E122" s="51"/>
      <c r="F122" s="38" t="s">
        <v>19</v>
      </c>
      <c r="G122" s="41">
        <f>6.5+9</f>
        <v>15.5</v>
      </c>
      <c r="H122" s="42"/>
      <c r="I122" s="42">
        <f>G122*H122</f>
        <v>0</v>
      </c>
    </row>
    <row r="123" spans="1:9" x14ac:dyDescent="0.25">
      <c r="B123" s="50" t="s">
        <v>241</v>
      </c>
      <c r="D123" s="50"/>
      <c r="E123" s="51"/>
      <c r="F123" s="38" t="s">
        <v>19</v>
      </c>
      <c r="G123" s="41">
        <f>45.5+36.5+14.8+17.74</f>
        <v>114.53999999999999</v>
      </c>
      <c r="H123" s="42"/>
      <c r="I123" s="42">
        <f>G123*H123</f>
        <v>0</v>
      </c>
    </row>
    <row r="124" spans="1:9" x14ac:dyDescent="0.25">
      <c r="B124" s="50" t="s">
        <v>242</v>
      </c>
      <c r="D124" s="50"/>
      <c r="E124" s="51"/>
      <c r="F124" s="38" t="s">
        <v>86</v>
      </c>
      <c r="G124" s="41">
        <v>2</v>
      </c>
      <c r="H124" s="42"/>
      <c r="I124" s="42">
        <f>G124*H124</f>
        <v>0</v>
      </c>
    </row>
    <row r="126" spans="1:9" ht="53.25" customHeight="1" x14ac:dyDescent="0.25">
      <c r="A126" s="40" t="s">
        <v>32</v>
      </c>
      <c r="B126" s="726" t="s">
        <v>292</v>
      </c>
      <c r="C126" s="726"/>
      <c r="D126" s="726"/>
      <c r="E126" s="726"/>
      <c r="F126" s="38" t="s">
        <v>86</v>
      </c>
      <c r="G126" s="41">
        <v>1</v>
      </c>
      <c r="H126" s="42"/>
      <c r="I126" s="42">
        <f>G126*H126</f>
        <v>0</v>
      </c>
    </row>
    <row r="128" spans="1:9" ht="64.5" customHeight="1" x14ac:dyDescent="0.25">
      <c r="A128" s="40" t="s">
        <v>33</v>
      </c>
      <c r="B128" s="726" t="s">
        <v>243</v>
      </c>
      <c r="C128" s="726"/>
      <c r="D128" s="726"/>
      <c r="E128" s="726"/>
      <c r="F128" s="38" t="s">
        <v>86</v>
      </c>
      <c r="G128" s="41">
        <v>2</v>
      </c>
      <c r="H128" s="42"/>
      <c r="I128" s="42">
        <f>G128*H128</f>
        <v>0</v>
      </c>
    </row>
    <row r="129" spans="1:9" ht="40.5" customHeight="1" x14ac:dyDescent="0.25">
      <c r="A129" s="40" t="s">
        <v>68</v>
      </c>
      <c r="B129" s="726" t="s">
        <v>293</v>
      </c>
      <c r="C129" s="726"/>
      <c r="D129" s="726"/>
      <c r="E129" s="726"/>
    </row>
    <row r="130" spans="1:9" x14ac:dyDescent="0.25">
      <c r="A130" s="40"/>
      <c r="B130" s="50" t="s">
        <v>294</v>
      </c>
      <c r="F130" s="38" t="s">
        <v>19</v>
      </c>
      <c r="G130" s="41">
        <f>8.5*3</f>
        <v>25.5</v>
      </c>
      <c r="H130" s="42"/>
      <c r="I130" s="42">
        <f>G130*H130</f>
        <v>0</v>
      </c>
    </row>
    <row r="132" spans="1:9" ht="39.75" customHeight="1" x14ac:dyDescent="0.25">
      <c r="A132" s="40" t="s">
        <v>69</v>
      </c>
      <c r="B132" s="726" t="s">
        <v>295</v>
      </c>
      <c r="C132" s="726"/>
      <c r="D132" s="726"/>
      <c r="E132" s="726"/>
      <c r="F132" s="38"/>
      <c r="G132" s="41"/>
      <c r="H132" s="42"/>
      <c r="I132" s="42"/>
    </row>
    <row r="133" spans="1:9" x14ac:dyDescent="0.25">
      <c r="B133" s="50" t="s">
        <v>294</v>
      </c>
      <c r="F133" s="38" t="s">
        <v>19</v>
      </c>
      <c r="G133" s="41">
        <f>23.9+5.1</f>
        <v>29</v>
      </c>
      <c r="H133" s="42"/>
      <c r="I133" s="42">
        <f>G133*H133</f>
        <v>0</v>
      </c>
    </row>
    <row r="134" spans="1:9" x14ac:dyDescent="0.25">
      <c r="B134" s="50"/>
      <c r="F134" s="38"/>
      <c r="G134" s="41"/>
      <c r="H134" s="42"/>
      <c r="I134" s="42"/>
    </row>
    <row r="135" spans="1:9" ht="53.25" customHeight="1" x14ac:dyDescent="0.25">
      <c r="A135" s="40" t="s">
        <v>70</v>
      </c>
      <c r="B135" s="726" t="s">
        <v>296</v>
      </c>
      <c r="C135" s="726"/>
      <c r="D135" s="726"/>
      <c r="E135" s="726"/>
      <c r="F135" s="38" t="s">
        <v>86</v>
      </c>
      <c r="G135" s="41">
        <v>3</v>
      </c>
      <c r="H135" s="42"/>
      <c r="I135" s="42">
        <f>G135*H135</f>
        <v>0</v>
      </c>
    </row>
    <row r="137" spans="1:9" ht="27" customHeight="1" x14ac:dyDescent="0.25">
      <c r="A137" s="43" t="s">
        <v>71</v>
      </c>
      <c r="B137" s="733" t="s">
        <v>244</v>
      </c>
      <c r="C137" s="733"/>
      <c r="D137" s="733"/>
      <c r="E137" s="733"/>
      <c r="F137" s="39" t="s">
        <v>10</v>
      </c>
      <c r="G137" s="44">
        <v>1</v>
      </c>
      <c r="H137" s="45"/>
      <c r="I137" s="45">
        <f>G137*H137</f>
        <v>0</v>
      </c>
    </row>
    <row r="139" spans="1:9" x14ac:dyDescent="0.25">
      <c r="E139" s="46"/>
      <c r="F139" s="47" t="s">
        <v>245</v>
      </c>
      <c r="H139" s="48" t="s">
        <v>15</v>
      </c>
      <c r="I139" s="49">
        <f>SUM(I121:I137)</f>
        <v>0</v>
      </c>
    </row>
    <row r="140" spans="1:9" x14ac:dyDescent="0.25">
      <c r="E140" s="46"/>
      <c r="F140" s="47"/>
      <c r="H140" s="48"/>
      <c r="I140" s="49"/>
    </row>
    <row r="141" spans="1:9" x14ac:dyDescent="0.25">
      <c r="E141" s="46"/>
      <c r="F141" s="47"/>
      <c r="H141" s="48"/>
      <c r="I141" s="49"/>
    </row>
    <row r="142" spans="1:9" x14ac:dyDescent="0.25">
      <c r="A142" s="36" t="s">
        <v>246</v>
      </c>
    </row>
    <row r="143" spans="1:9" x14ac:dyDescent="0.25">
      <c r="A143" s="36"/>
    </row>
    <row r="144" spans="1:9" x14ac:dyDescent="0.25">
      <c r="A144" s="36" t="s">
        <v>247</v>
      </c>
      <c r="B144" s="37"/>
      <c r="C144" s="37"/>
      <c r="D144" s="37"/>
      <c r="E144" s="37"/>
      <c r="F144" s="38"/>
      <c r="G144" s="38"/>
      <c r="H144" s="38"/>
      <c r="I144" s="38"/>
    </row>
    <row r="145" spans="1:10" x14ac:dyDescent="0.25">
      <c r="A145" s="36"/>
      <c r="B145" s="37"/>
      <c r="C145" s="37"/>
      <c r="D145" s="37"/>
      <c r="E145" s="37"/>
      <c r="F145" s="38"/>
      <c r="G145" s="38"/>
      <c r="H145" s="38"/>
      <c r="I145" s="38"/>
    </row>
    <row r="146" spans="1:10" x14ac:dyDescent="0.25">
      <c r="A146" s="39" t="s">
        <v>4</v>
      </c>
      <c r="B146" s="734" t="s">
        <v>5</v>
      </c>
      <c r="C146" s="734"/>
      <c r="D146" s="734"/>
      <c r="E146" s="734"/>
      <c r="F146" s="39" t="s">
        <v>6</v>
      </c>
      <c r="G146" s="39" t="s">
        <v>7</v>
      </c>
      <c r="H146" s="39" t="s">
        <v>9</v>
      </c>
      <c r="I146" s="39" t="s">
        <v>8</v>
      </c>
    </row>
    <row r="148" spans="1:10" ht="153.6" customHeight="1" x14ac:dyDescent="0.25">
      <c r="A148" s="40" t="s">
        <v>34</v>
      </c>
      <c r="B148" s="740" t="s">
        <v>1773</v>
      </c>
      <c r="C148" s="740"/>
      <c r="D148" s="740"/>
      <c r="E148" s="740"/>
      <c r="F148" s="54" t="s">
        <v>86</v>
      </c>
      <c r="G148" s="41">
        <v>2</v>
      </c>
      <c r="H148" s="42"/>
      <c r="I148" s="42">
        <f>G148*H148</f>
        <v>0</v>
      </c>
      <c r="J148" s="185"/>
    </row>
    <row r="150" spans="1:10" ht="40.5" customHeight="1" x14ac:dyDescent="0.25">
      <c r="A150" s="40" t="s">
        <v>35</v>
      </c>
      <c r="B150" s="726" t="s">
        <v>248</v>
      </c>
      <c r="C150" s="726"/>
      <c r="D150" s="726"/>
      <c r="E150" s="726"/>
      <c r="F150" s="38"/>
      <c r="G150" s="41"/>
      <c r="H150" s="42"/>
      <c r="I150" s="42"/>
    </row>
    <row r="151" spans="1:10" x14ac:dyDescent="0.25">
      <c r="B151" s="50" t="s">
        <v>249</v>
      </c>
      <c r="F151" s="38" t="s">
        <v>86</v>
      </c>
      <c r="G151" s="41">
        <v>9</v>
      </c>
      <c r="H151" s="42"/>
      <c r="I151" s="42">
        <f>G151*H151</f>
        <v>0</v>
      </c>
    </row>
    <row r="152" spans="1:10" x14ac:dyDescent="0.25">
      <c r="B152" s="50" t="s">
        <v>250</v>
      </c>
      <c r="F152" s="38" t="s">
        <v>86</v>
      </c>
      <c r="G152" s="41">
        <v>2</v>
      </c>
      <c r="H152" s="42"/>
      <c r="I152" s="42">
        <f>G152*H152</f>
        <v>0</v>
      </c>
    </row>
    <row r="153" spans="1:10" x14ac:dyDescent="0.25">
      <c r="B153" s="50"/>
      <c r="F153" s="38"/>
      <c r="G153" s="41"/>
      <c r="H153" s="42"/>
      <c r="I153" s="42"/>
    </row>
    <row r="154" spans="1:10" ht="136.19999999999999" customHeight="1" x14ac:dyDescent="0.25">
      <c r="A154" s="40" t="s">
        <v>251</v>
      </c>
      <c r="B154" s="726" t="s">
        <v>252</v>
      </c>
      <c r="C154" s="726"/>
      <c r="D154" s="726"/>
      <c r="E154" s="726"/>
      <c r="F154" s="38"/>
      <c r="G154" s="41"/>
      <c r="H154" s="42"/>
      <c r="I154" s="42"/>
    </row>
    <row r="155" spans="1:10" x14ac:dyDescent="0.25">
      <c r="B155" s="50" t="s">
        <v>253</v>
      </c>
      <c r="D155" s="50"/>
      <c r="E155" s="51"/>
      <c r="F155" s="38" t="s">
        <v>19</v>
      </c>
      <c r="G155" s="41">
        <f>19.2+9+40</f>
        <v>68.2</v>
      </c>
      <c r="H155" s="42"/>
      <c r="I155" s="42">
        <f>G155*H155</f>
        <v>0</v>
      </c>
    </row>
    <row r="157" spans="1:10" ht="112.2" customHeight="1" x14ac:dyDescent="0.25">
      <c r="A157" s="43" t="s">
        <v>254</v>
      </c>
      <c r="B157" s="733" t="s">
        <v>255</v>
      </c>
      <c r="C157" s="733"/>
      <c r="D157" s="733"/>
      <c r="E157" s="733"/>
      <c r="F157" s="39" t="s">
        <v>10</v>
      </c>
      <c r="G157" s="44">
        <v>1</v>
      </c>
      <c r="H157" s="45"/>
      <c r="I157" s="45">
        <f>G157*H157</f>
        <v>0</v>
      </c>
    </row>
    <row r="159" spans="1:10" x14ac:dyDescent="0.25">
      <c r="E159" s="46"/>
      <c r="F159" s="47" t="s">
        <v>256</v>
      </c>
      <c r="H159" s="48" t="s">
        <v>15</v>
      </c>
      <c r="I159" s="49">
        <f>SUM(I148:I157)</f>
        <v>0</v>
      </c>
    </row>
    <row r="160" spans="1:10" x14ac:dyDescent="0.25">
      <c r="E160" s="46"/>
      <c r="F160" s="47"/>
      <c r="H160" s="48"/>
      <c r="I160" s="49"/>
    </row>
    <row r="163" spans="1:13" x14ac:dyDescent="0.25">
      <c r="A163" s="690"/>
      <c r="B163" s="692" t="s">
        <v>1578</v>
      </c>
      <c r="C163" s="16"/>
      <c r="D163" s="16"/>
      <c r="E163" s="16"/>
      <c r="F163" s="29"/>
      <c r="G163" s="19"/>
      <c r="H163" s="20"/>
      <c r="I163" s="21"/>
    </row>
    <row r="164" spans="1:13" x14ac:dyDescent="0.25">
      <c r="A164" s="691"/>
      <c r="B164" s="732" t="s">
        <v>1788</v>
      </c>
      <c r="C164" s="732"/>
      <c r="D164" s="732"/>
      <c r="E164" s="732"/>
      <c r="F164" s="732"/>
      <c r="G164" s="732"/>
      <c r="H164" s="732"/>
      <c r="I164" s="732"/>
    </row>
    <row r="165" spans="1:13" x14ac:dyDescent="0.25">
      <c r="A165" s="19"/>
      <c r="B165" s="732"/>
      <c r="C165" s="732"/>
      <c r="D165" s="732"/>
      <c r="E165" s="732"/>
      <c r="F165" s="732"/>
      <c r="G165" s="732"/>
      <c r="H165" s="732"/>
      <c r="I165" s="732"/>
    </row>
    <row r="167" spans="1:13" ht="26.4" customHeight="1" x14ac:dyDescent="0.25">
      <c r="A167" s="19"/>
      <c r="B167" s="731" t="s">
        <v>1776</v>
      </c>
      <c r="C167" s="731"/>
      <c r="D167" s="731"/>
      <c r="E167" s="731"/>
      <c r="F167" s="731"/>
      <c r="G167" s="731"/>
      <c r="H167" s="731"/>
      <c r="I167" s="731"/>
      <c r="J167" s="731"/>
      <c r="K167" s="731"/>
      <c r="L167" s="731"/>
      <c r="M167" s="731"/>
    </row>
    <row r="170" spans="1:13" ht="12.75" customHeight="1" x14ac:dyDescent="0.25">
      <c r="A170" s="739" t="s">
        <v>40</v>
      </c>
      <c r="B170" s="739"/>
      <c r="C170" s="739"/>
      <c r="D170" s="739"/>
      <c r="E170" s="739"/>
      <c r="F170" s="739"/>
      <c r="G170" s="739"/>
      <c r="H170" s="739"/>
      <c r="I170" s="739"/>
    </row>
    <row r="172" spans="1:13" x14ac:dyDescent="0.25">
      <c r="A172" s="58" t="s">
        <v>183</v>
      </c>
      <c r="B172" s="52"/>
      <c r="C172" s="52"/>
      <c r="I172" s="59"/>
    </row>
    <row r="173" spans="1:13" x14ac:dyDescent="0.25">
      <c r="A173" s="58"/>
      <c r="B173" s="52"/>
      <c r="C173" s="52"/>
      <c r="I173" s="60"/>
    </row>
    <row r="174" spans="1:13" x14ac:dyDescent="0.25">
      <c r="A174" s="58" t="s">
        <v>184</v>
      </c>
      <c r="B174" s="52"/>
      <c r="C174" s="52"/>
      <c r="I174" s="60">
        <f>I29</f>
        <v>0</v>
      </c>
    </row>
    <row r="175" spans="1:13" x14ac:dyDescent="0.25">
      <c r="A175" s="58" t="s">
        <v>199</v>
      </c>
      <c r="B175" s="52"/>
      <c r="C175" s="52"/>
      <c r="I175" s="60">
        <f>I56</f>
        <v>0</v>
      </c>
    </row>
    <row r="176" spans="1:13" x14ac:dyDescent="0.25">
      <c r="A176" s="61" t="s">
        <v>213</v>
      </c>
      <c r="B176" s="52"/>
      <c r="C176" s="52"/>
      <c r="I176" s="60">
        <f>I81</f>
        <v>0</v>
      </c>
    </row>
    <row r="177" spans="1:9" x14ac:dyDescent="0.25">
      <c r="I177" s="60"/>
    </row>
    <row r="178" spans="1:9" x14ac:dyDescent="0.25">
      <c r="A178" s="58" t="s">
        <v>225</v>
      </c>
      <c r="I178" s="60"/>
    </row>
    <row r="179" spans="1:9" x14ac:dyDescent="0.25">
      <c r="A179" s="58"/>
      <c r="I179" s="60"/>
    </row>
    <row r="180" spans="1:9" x14ac:dyDescent="0.25">
      <c r="A180" s="61" t="s">
        <v>226</v>
      </c>
      <c r="I180" s="60">
        <f>I111</f>
        <v>0</v>
      </c>
    </row>
    <row r="181" spans="1:9" x14ac:dyDescent="0.25">
      <c r="A181" s="61" t="s">
        <v>237</v>
      </c>
      <c r="I181" s="60">
        <f>I139</f>
        <v>0</v>
      </c>
    </row>
    <row r="182" spans="1:9" x14ac:dyDescent="0.25">
      <c r="I182" s="60"/>
    </row>
    <row r="183" spans="1:9" x14ac:dyDescent="0.25">
      <c r="A183" s="58" t="s">
        <v>246</v>
      </c>
      <c r="I183" s="60"/>
    </row>
    <row r="184" spans="1:9" x14ac:dyDescent="0.25">
      <c r="A184" s="58"/>
      <c r="I184" s="60"/>
    </row>
    <row r="185" spans="1:9" x14ac:dyDescent="0.25">
      <c r="A185" s="62" t="s">
        <v>247</v>
      </c>
      <c r="B185" s="3"/>
      <c r="C185" s="3"/>
      <c r="D185" s="3"/>
      <c r="E185" s="3"/>
      <c r="F185" s="3"/>
      <c r="G185" s="3"/>
      <c r="H185" s="3"/>
      <c r="I185" s="63">
        <f>I159</f>
        <v>0</v>
      </c>
    </row>
    <row r="186" spans="1:9" x14ac:dyDescent="0.25">
      <c r="I186" s="60"/>
    </row>
    <row r="187" spans="1:9" x14ac:dyDescent="0.25">
      <c r="H187" t="s">
        <v>15</v>
      </c>
      <c r="I187" s="60">
        <f>SUM(I174:I185)</f>
        <v>0</v>
      </c>
    </row>
  </sheetData>
  <mergeCells count="59">
    <mergeCell ref="A170:I170"/>
    <mergeCell ref="B154:E154"/>
    <mergeCell ref="B157:E157"/>
    <mergeCell ref="B135:E135"/>
    <mergeCell ref="B137:E137"/>
    <mergeCell ref="B146:E146"/>
    <mergeCell ref="B148:E148"/>
    <mergeCell ref="B150:E150"/>
    <mergeCell ref="B164:I165"/>
    <mergeCell ref="B167:M167"/>
    <mergeCell ref="B126:E126"/>
    <mergeCell ref="B128:E128"/>
    <mergeCell ref="B129:E129"/>
    <mergeCell ref="B132:E132"/>
    <mergeCell ref="B105:E105"/>
    <mergeCell ref="B107:E107"/>
    <mergeCell ref="B109:E109"/>
    <mergeCell ref="B116:E116"/>
    <mergeCell ref="B120:E120"/>
    <mergeCell ref="B118:E118"/>
    <mergeCell ref="B103:E103"/>
    <mergeCell ref="B75:E75"/>
    <mergeCell ref="B76:E76"/>
    <mergeCell ref="B77:E77"/>
    <mergeCell ref="B78:E78"/>
    <mergeCell ref="B79:E79"/>
    <mergeCell ref="B89:E89"/>
    <mergeCell ref="B91:E91"/>
    <mergeCell ref="B93:E93"/>
    <mergeCell ref="B97:E97"/>
    <mergeCell ref="B99:E99"/>
    <mergeCell ref="B101:E101"/>
    <mergeCell ref="B67:E67"/>
    <mergeCell ref="B69:E69"/>
    <mergeCell ref="B71:E71"/>
    <mergeCell ref="B73:E73"/>
    <mergeCell ref="B74:E74"/>
    <mergeCell ref="B65:E65"/>
    <mergeCell ref="B36:E36"/>
    <mergeCell ref="B38:E38"/>
    <mergeCell ref="B41:E41"/>
    <mergeCell ref="B45:E45"/>
    <mergeCell ref="B48:E48"/>
    <mergeCell ref="B52:E52"/>
    <mergeCell ref="B54:E54"/>
    <mergeCell ref="B61:E61"/>
    <mergeCell ref="B63:E63"/>
    <mergeCell ref="B34:E34"/>
    <mergeCell ref="A1:I1"/>
    <mergeCell ref="B7:E7"/>
    <mergeCell ref="B9:E9"/>
    <mergeCell ref="B11:E11"/>
    <mergeCell ref="B15:E15"/>
    <mergeCell ref="B17:E17"/>
    <mergeCell ref="B19:E19"/>
    <mergeCell ref="B21:E21"/>
    <mergeCell ref="B23:E23"/>
    <mergeCell ref="B25:E25"/>
    <mergeCell ref="B27:E27"/>
  </mergeCells>
  <pageMargins left="0.51181102362204722" right="0.51181102362204722" top="0.55118110236220474" bottom="0.55118110236220474"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5"/>
  <sheetViews>
    <sheetView topLeftCell="A70" zoomScaleNormal="100" zoomScaleSheetLayoutView="115" zoomScalePageLayoutView="115" workbookViewId="0">
      <selection activeCell="D95" sqref="D95"/>
    </sheetView>
  </sheetViews>
  <sheetFormatPr defaultRowHeight="13.8" x14ac:dyDescent="0.25"/>
  <cols>
    <col min="1" max="1" width="3.6640625" style="80" customWidth="1"/>
    <col min="2" max="2" width="15.109375" style="104" customWidth="1"/>
    <col min="3" max="3" width="18" style="105" customWidth="1"/>
    <col min="4" max="4" width="15.33203125" style="104" customWidth="1"/>
    <col min="5" max="5" width="10.109375" style="106" customWidth="1"/>
    <col min="6" max="6" width="17.5546875" style="107" customWidth="1"/>
    <col min="7" max="7" width="19.44140625" style="83" bestFit="1" customWidth="1"/>
    <col min="8" max="8" width="12.109375" style="108" customWidth="1"/>
    <col min="9" max="255" width="9.109375" style="83"/>
    <col min="256" max="256" width="3.6640625" style="83" customWidth="1"/>
    <col min="257" max="257" width="15.109375" style="83" customWidth="1"/>
    <col min="258" max="258" width="18" style="83" customWidth="1"/>
    <col min="259" max="259" width="15.33203125" style="83" customWidth="1"/>
    <col min="260" max="260" width="10.109375" style="83" customWidth="1"/>
    <col min="261" max="261" width="17.5546875" style="83" customWidth="1"/>
    <col min="262" max="262" width="42.109375" style="83" customWidth="1"/>
    <col min="263" max="263" width="10.109375" style="83" bestFit="1" customWidth="1"/>
    <col min="264" max="264" width="12.109375" style="83" customWidth="1"/>
    <col min="265" max="511" width="9.109375" style="83"/>
    <col min="512" max="512" width="3.6640625" style="83" customWidth="1"/>
    <col min="513" max="513" width="15.109375" style="83" customWidth="1"/>
    <col min="514" max="514" width="18" style="83" customWidth="1"/>
    <col min="515" max="515" width="15.33203125" style="83" customWidth="1"/>
    <col min="516" max="516" width="10.109375" style="83" customWidth="1"/>
    <col min="517" max="517" width="17.5546875" style="83" customWidth="1"/>
    <col min="518" max="518" width="42.109375" style="83" customWidth="1"/>
    <col min="519" max="519" width="10.109375" style="83" bestFit="1" customWidth="1"/>
    <col min="520" max="520" width="12.109375" style="83" customWidth="1"/>
    <col min="521" max="767" width="9.109375" style="83"/>
    <col min="768" max="768" width="3.6640625" style="83" customWidth="1"/>
    <col min="769" max="769" width="15.109375" style="83" customWidth="1"/>
    <col min="770" max="770" width="18" style="83" customWidth="1"/>
    <col min="771" max="771" width="15.33203125" style="83" customWidth="1"/>
    <col min="772" max="772" width="10.109375" style="83" customWidth="1"/>
    <col min="773" max="773" width="17.5546875" style="83" customWidth="1"/>
    <col min="774" max="774" width="42.109375" style="83" customWidth="1"/>
    <col min="775" max="775" width="10.109375" style="83" bestFit="1" customWidth="1"/>
    <col min="776" max="776" width="12.109375" style="83" customWidth="1"/>
    <col min="777" max="1023" width="9.109375" style="83"/>
    <col min="1024" max="1024" width="3.6640625" style="83" customWidth="1"/>
    <col min="1025" max="1025" width="15.109375" style="83" customWidth="1"/>
    <col min="1026" max="1026" width="18" style="83" customWidth="1"/>
    <col min="1027" max="1027" width="15.33203125" style="83" customWidth="1"/>
    <col min="1028" max="1028" width="10.109375" style="83" customWidth="1"/>
    <col min="1029" max="1029" width="17.5546875" style="83" customWidth="1"/>
    <col min="1030" max="1030" width="42.109375" style="83" customWidth="1"/>
    <col min="1031" max="1031" width="10.109375" style="83" bestFit="1" customWidth="1"/>
    <col min="1032" max="1032" width="12.109375" style="83" customWidth="1"/>
    <col min="1033" max="1279" width="9.109375" style="83"/>
    <col min="1280" max="1280" width="3.6640625" style="83" customWidth="1"/>
    <col min="1281" max="1281" width="15.109375" style="83" customWidth="1"/>
    <col min="1282" max="1282" width="18" style="83" customWidth="1"/>
    <col min="1283" max="1283" width="15.33203125" style="83" customWidth="1"/>
    <col min="1284" max="1284" width="10.109375" style="83" customWidth="1"/>
    <col min="1285" max="1285" width="17.5546875" style="83" customWidth="1"/>
    <col min="1286" max="1286" width="42.109375" style="83" customWidth="1"/>
    <col min="1287" max="1287" width="10.109375" style="83" bestFit="1" customWidth="1"/>
    <col min="1288" max="1288" width="12.109375" style="83" customWidth="1"/>
    <col min="1289" max="1535" width="9.109375" style="83"/>
    <col min="1536" max="1536" width="3.6640625" style="83" customWidth="1"/>
    <col min="1537" max="1537" width="15.109375" style="83" customWidth="1"/>
    <col min="1538" max="1538" width="18" style="83" customWidth="1"/>
    <col min="1539" max="1539" width="15.33203125" style="83" customWidth="1"/>
    <col min="1540" max="1540" width="10.109375" style="83" customWidth="1"/>
    <col min="1541" max="1541" width="17.5546875" style="83" customWidth="1"/>
    <col min="1542" max="1542" width="42.109375" style="83" customWidth="1"/>
    <col min="1543" max="1543" width="10.109375" style="83" bestFit="1" customWidth="1"/>
    <col min="1544" max="1544" width="12.109375" style="83" customWidth="1"/>
    <col min="1545" max="1791" width="9.109375" style="83"/>
    <col min="1792" max="1792" width="3.6640625" style="83" customWidth="1"/>
    <col min="1793" max="1793" width="15.109375" style="83" customWidth="1"/>
    <col min="1794" max="1794" width="18" style="83" customWidth="1"/>
    <col min="1795" max="1795" width="15.33203125" style="83" customWidth="1"/>
    <col min="1796" max="1796" width="10.109375" style="83" customWidth="1"/>
    <col min="1797" max="1797" width="17.5546875" style="83" customWidth="1"/>
    <col min="1798" max="1798" width="42.109375" style="83" customWidth="1"/>
    <col min="1799" max="1799" width="10.109375" style="83" bestFit="1" customWidth="1"/>
    <col min="1800" max="1800" width="12.109375" style="83" customWidth="1"/>
    <col min="1801" max="2047" width="9.109375" style="83"/>
    <col min="2048" max="2048" width="3.6640625" style="83" customWidth="1"/>
    <col min="2049" max="2049" width="15.109375" style="83" customWidth="1"/>
    <col min="2050" max="2050" width="18" style="83" customWidth="1"/>
    <col min="2051" max="2051" width="15.33203125" style="83" customWidth="1"/>
    <col min="2052" max="2052" width="10.109375" style="83" customWidth="1"/>
    <col min="2053" max="2053" width="17.5546875" style="83" customWidth="1"/>
    <col min="2054" max="2054" width="42.109375" style="83" customWidth="1"/>
    <col min="2055" max="2055" width="10.109375" style="83" bestFit="1" customWidth="1"/>
    <col min="2056" max="2056" width="12.109375" style="83" customWidth="1"/>
    <col min="2057" max="2303" width="9.109375" style="83"/>
    <col min="2304" max="2304" width="3.6640625" style="83" customWidth="1"/>
    <col min="2305" max="2305" width="15.109375" style="83" customWidth="1"/>
    <col min="2306" max="2306" width="18" style="83" customWidth="1"/>
    <col min="2307" max="2307" width="15.33203125" style="83" customWidth="1"/>
    <col min="2308" max="2308" width="10.109375" style="83" customWidth="1"/>
    <col min="2309" max="2309" width="17.5546875" style="83" customWidth="1"/>
    <col min="2310" max="2310" width="42.109375" style="83" customWidth="1"/>
    <col min="2311" max="2311" width="10.109375" style="83" bestFit="1" customWidth="1"/>
    <col min="2312" max="2312" width="12.109375" style="83" customWidth="1"/>
    <col min="2313" max="2559" width="9.109375" style="83"/>
    <col min="2560" max="2560" width="3.6640625" style="83" customWidth="1"/>
    <col min="2561" max="2561" width="15.109375" style="83" customWidth="1"/>
    <col min="2562" max="2562" width="18" style="83" customWidth="1"/>
    <col min="2563" max="2563" width="15.33203125" style="83" customWidth="1"/>
    <col min="2564" max="2564" width="10.109375" style="83" customWidth="1"/>
    <col min="2565" max="2565" width="17.5546875" style="83" customWidth="1"/>
    <col min="2566" max="2566" width="42.109375" style="83" customWidth="1"/>
    <col min="2567" max="2567" width="10.109375" style="83" bestFit="1" customWidth="1"/>
    <col min="2568" max="2568" width="12.109375" style="83" customWidth="1"/>
    <col min="2569" max="2815" width="9.109375" style="83"/>
    <col min="2816" max="2816" width="3.6640625" style="83" customWidth="1"/>
    <col min="2817" max="2817" width="15.109375" style="83" customWidth="1"/>
    <col min="2818" max="2818" width="18" style="83" customWidth="1"/>
    <col min="2819" max="2819" width="15.33203125" style="83" customWidth="1"/>
    <col min="2820" max="2820" width="10.109375" style="83" customWidth="1"/>
    <col min="2821" max="2821" width="17.5546875" style="83" customWidth="1"/>
    <col min="2822" max="2822" width="42.109375" style="83" customWidth="1"/>
    <col min="2823" max="2823" width="10.109375" style="83" bestFit="1" customWidth="1"/>
    <col min="2824" max="2824" width="12.109375" style="83" customWidth="1"/>
    <col min="2825" max="3071" width="9.109375" style="83"/>
    <col min="3072" max="3072" width="3.6640625" style="83" customWidth="1"/>
    <col min="3073" max="3073" width="15.109375" style="83" customWidth="1"/>
    <col min="3074" max="3074" width="18" style="83" customWidth="1"/>
    <col min="3075" max="3075" width="15.33203125" style="83" customWidth="1"/>
    <col min="3076" max="3076" width="10.109375" style="83" customWidth="1"/>
    <col min="3077" max="3077" width="17.5546875" style="83" customWidth="1"/>
    <col min="3078" max="3078" width="42.109375" style="83" customWidth="1"/>
    <col min="3079" max="3079" width="10.109375" style="83" bestFit="1" customWidth="1"/>
    <col min="3080" max="3080" width="12.109375" style="83" customWidth="1"/>
    <col min="3081" max="3327" width="9.109375" style="83"/>
    <col min="3328" max="3328" width="3.6640625" style="83" customWidth="1"/>
    <col min="3329" max="3329" width="15.109375" style="83" customWidth="1"/>
    <col min="3330" max="3330" width="18" style="83" customWidth="1"/>
    <col min="3331" max="3331" width="15.33203125" style="83" customWidth="1"/>
    <col min="3332" max="3332" width="10.109375" style="83" customWidth="1"/>
    <col min="3333" max="3333" width="17.5546875" style="83" customWidth="1"/>
    <col min="3334" max="3334" width="42.109375" style="83" customWidth="1"/>
    <col min="3335" max="3335" width="10.109375" style="83" bestFit="1" customWidth="1"/>
    <col min="3336" max="3336" width="12.109375" style="83" customWidth="1"/>
    <col min="3337" max="3583" width="9.109375" style="83"/>
    <col min="3584" max="3584" width="3.6640625" style="83" customWidth="1"/>
    <col min="3585" max="3585" width="15.109375" style="83" customWidth="1"/>
    <col min="3586" max="3586" width="18" style="83" customWidth="1"/>
    <col min="3587" max="3587" width="15.33203125" style="83" customWidth="1"/>
    <col min="3588" max="3588" width="10.109375" style="83" customWidth="1"/>
    <col min="3589" max="3589" width="17.5546875" style="83" customWidth="1"/>
    <col min="3590" max="3590" width="42.109375" style="83" customWidth="1"/>
    <col min="3591" max="3591" width="10.109375" style="83" bestFit="1" customWidth="1"/>
    <col min="3592" max="3592" width="12.109375" style="83" customWidth="1"/>
    <col min="3593" max="3839" width="9.109375" style="83"/>
    <col min="3840" max="3840" width="3.6640625" style="83" customWidth="1"/>
    <col min="3841" max="3841" width="15.109375" style="83" customWidth="1"/>
    <col min="3842" max="3842" width="18" style="83" customWidth="1"/>
    <col min="3843" max="3843" width="15.33203125" style="83" customWidth="1"/>
    <col min="3844" max="3844" width="10.109375" style="83" customWidth="1"/>
    <col min="3845" max="3845" width="17.5546875" style="83" customWidth="1"/>
    <col min="3846" max="3846" width="42.109375" style="83" customWidth="1"/>
    <col min="3847" max="3847" width="10.109375" style="83" bestFit="1" customWidth="1"/>
    <col min="3848" max="3848" width="12.109375" style="83" customWidth="1"/>
    <col min="3849" max="4095" width="9.109375" style="83"/>
    <col min="4096" max="4096" width="3.6640625" style="83" customWidth="1"/>
    <col min="4097" max="4097" width="15.109375" style="83" customWidth="1"/>
    <col min="4098" max="4098" width="18" style="83" customWidth="1"/>
    <col min="4099" max="4099" width="15.33203125" style="83" customWidth="1"/>
    <col min="4100" max="4100" width="10.109375" style="83" customWidth="1"/>
    <col min="4101" max="4101" width="17.5546875" style="83" customWidth="1"/>
    <col min="4102" max="4102" width="42.109375" style="83" customWidth="1"/>
    <col min="4103" max="4103" width="10.109375" style="83" bestFit="1" customWidth="1"/>
    <col min="4104" max="4104" width="12.109375" style="83" customWidth="1"/>
    <col min="4105" max="4351" width="9.109375" style="83"/>
    <col min="4352" max="4352" width="3.6640625" style="83" customWidth="1"/>
    <col min="4353" max="4353" width="15.109375" style="83" customWidth="1"/>
    <col min="4354" max="4354" width="18" style="83" customWidth="1"/>
    <col min="4355" max="4355" width="15.33203125" style="83" customWidth="1"/>
    <col min="4356" max="4356" width="10.109375" style="83" customWidth="1"/>
    <col min="4357" max="4357" width="17.5546875" style="83" customWidth="1"/>
    <col min="4358" max="4358" width="42.109375" style="83" customWidth="1"/>
    <col min="4359" max="4359" width="10.109375" style="83" bestFit="1" customWidth="1"/>
    <col min="4360" max="4360" width="12.109375" style="83" customWidth="1"/>
    <col min="4361" max="4607" width="9.109375" style="83"/>
    <col min="4608" max="4608" width="3.6640625" style="83" customWidth="1"/>
    <col min="4609" max="4609" width="15.109375" style="83" customWidth="1"/>
    <col min="4610" max="4610" width="18" style="83" customWidth="1"/>
    <col min="4611" max="4611" width="15.33203125" style="83" customWidth="1"/>
    <col min="4612" max="4612" width="10.109375" style="83" customWidth="1"/>
    <col min="4613" max="4613" width="17.5546875" style="83" customWidth="1"/>
    <col min="4614" max="4614" width="42.109375" style="83" customWidth="1"/>
    <col min="4615" max="4615" width="10.109375" style="83" bestFit="1" customWidth="1"/>
    <col min="4616" max="4616" width="12.109375" style="83" customWidth="1"/>
    <col min="4617" max="4863" width="9.109375" style="83"/>
    <col min="4864" max="4864" width="3.6640625" style="83" customWidth="1"/>
    <col min="4865" max="4865" width="15.109375" style="83" customWidth="1"/>
    <col min="4866" max="4866" width="18" style="83" customWidth="1"/>
    <col min="4867" max="4867" width="15.33203125" style="83" customWidth="1"/>
    <col min="4868" max="4868" width="10.109375" style="83" customWidth="1"/>
    <col min="4869" max="4869" width="17.5546875" style="83" customWidth="1"/>
    <col min="4870" max="4870" width="42.109375" style="83" customWidth="1"/>
    <col min="4871" max="4871" width="10.109375" style="83" bestFit="1" customWidth="1"/>
    <col min="4872" max="4872" width="12.109375" style="83" customWidth="1"/>
    <col min="4873" max="5119" width="9.109375" style="83"/>
    <col min="5120" max="5120" width="3.6640625" style="83" customWidth="1"/>
    <col min="5121" max="5121" width="15.109375" style="83" customWidth="1"/>
    <col min="5122" max="5122" width="18" style="83" customWidth="1"/>
    <col min="5123" max="5123" width="15.33203125" style="83" customWidth="1"/>
    <col min="5124" max="5124" width="10.109375" style="83" customWidth="1"/>
    <col min="5125" max="5125" width="17.5546875" style="83" customWidth="1"/>
    <col min="5126" max="5126" width="42.109375" style="83" customWidth="1"/>
    <col min="5127" max="5127" width="10.109375" style="83" bestFit="1" customWidth="1"/>
    <col min="5128" max="5128" width="12.109375" style="83" customWidth="1"/>
    <col min="5129" max="5375" width="9.109375" style="83"/>
    <col min="5376" max="5376" width="3.6640625" style="83" customWidth="1"/>
    <col min="5377" max="5377" width="15.109375" style="83" customWidth="1"/>
    <col min="5378" max="5378" width="18" style="83" customWidth="1"/>
    <col min="5379" max="5379" width="15.33203125" style="83" customWidth="1"/>
    <col min="5380" max="5380" width="10.109375" style="83" customWidth="1"/>
    <col min="5381" max="5381" width="17.5546875" style="83" customWidth="1"/>
    <col min="5382" max="5382" width="42.109375" style="83" customWidth="1"/>
    <col min="5383" max="5383" width="10.109375" style="83" bestFit="1" customWidth="1"/>
    <col min="5384" max="5384" width="12.109375" style="83" customWidth="1"/>
    <col min="5385" max="5631" width="9.109375" style="83"/>
    <col min="5632" max="5632" width="3.6640625" style="83" customWidth="1"/>
    <col min="5633" max="5633" width="15.109375" style="83" customWidth="1"/>
    <col min="5634" max="5634" width="18" style="83" customWidth="1"/>
    <col min="5635" max="5635" width="15.33203125" style="83" customWidth="1"/>
    <col min="5636" max="5636" width="10.109375" style="83" customWidth="1"/>
    <col min="5637" max="5637" width="17.5546875" style="83" customWidth="1"/>
    <col min="5638" max="5638" width="42.109375" style="83" customWidth="1"/>
    <col min="5639" max="5639" width="10.109375" style="83" bestFit="1" customWidth="1"/>
    <col min="5640" max="5640" width="12.109375" style="83" customWidth="1"/>
    <col min="5641" max="5887" width="9.109375" style="83"/>
    <col min="5888" max="5888" width="3.6640625" style="83" customWidth="1"/>
    <col min="5889" max="5889" width="15.109375" style="83" customWidth="1"/>
    <col min="5890" max="5890" width="18" style="83" customWidth="1"/>
    <col min="5891" max="5891" width="15.33203125" style="83" customWidth="1"/>
    <col min="5892" max="5892" width="10.109375" style="83" customWidth="1"/>
    <col min="5893" max="5893" width="17.5546875" style="83" customWidth="1"/>
    <col min="5894" max="5894" width="42.109375" style="83" customWidth="1"/>
    <col min="5895" max="5895" width="10.109375" style="83" bestFit="1" customWidth="1"/>
    <col min="5896" max="5896" width="12.109375" style="83" customWidth="1"/>
    <col min="5897" max="6143" width="9.109375" style="83"/>
    <col min="6144" max="6144" width="3.6640625" style="83" customWidth="1"/>
    <col min="6145" max="6145" width="15.109375" style="83" customWidth="1"/>
    <col min="6146" max="6146" width="18" style="83" customWidth="1"/>
    <col min="6147" max="6147" width="15.33203125" style="83" customWidth="1"/>
    <col min="6148" max="6148" width="10.109375" style="83" customWidth="1"/>
    <col min="6149" max="6149" width="17.5546875" style="83" customWidth="1"/>
    <col min="6150" max="6150" width="42.109375" style="83" customWidth="1"/>
    <col min="6151" max="6151" width="10.109375" style="83" bestFit="1" customWidth="1"/>
    <col min="6152" max="6152" width="12.109375" style="83" customWidth="1"/>
    <col min="6153" max="6399" width="9.109375" style="83"/>
    <col min="6400" max="6400" width="3.6640625" style="83" customWidth="1"/>
    <col min="6401" max="6401" width="15.109375" style="83" customWidth="1"/>
    <col min="6402" max="6402" width="18" style="83" customWidth="1"/>
    <col min="6403" max="6403" width="15.33203125" style="83" customWidth="1"/>
    <col min="6404" max="6404" width="10.109375" style="83" customWidth="1"/>
    <col min="6405" max="6405" width="17.5546875" style="83" customWidth="1"/>
    <col min="6406" max="6406" width="42.109375" style="83" customWidth="1"/>
    <col min="6407" max="6407" width="10.109375" style="83" bestFit="1" customWidth="1"/>
    <col min="6408" max="6408" width="12.109375" style="83" customWidth="1"/>
    <col min="6409" max="6655" width="9.109375" style="83"/>
    <col min="6656" max="6656" width="3.6640625" style="83" customWidth="1"/>
    <col min="6657" max="6657" width="15.109375" style="83" customWidth="1"/>
    <col min="6658" max="6658" width="18" style="83" customWidth="1"/>
    <col min="6659" max="6659" width="15.33203125" style="83" customWidth="1"/>
    <col min="6660" max="6660" width="10.109375" style="83" customWidth="1"/>
    <col min="6661" max="6661" width="17.5546875" style="83" customWidth="1"/>
    <col min="6662" max="6662" width="42.109375" style="83" customWidth="1"/>
    <col min="6663" max="6663" width="10.109375" style="83" bestFit="1" customWidth="1"/>
    <col min="6664" max="6664" width="12.109375" style="83" customWidth="1"/>
    <col min="6665" max="6911" width="9.109375" style="83"/>
    <col min="6912" max="6912" width="3.6640625" style="83" customWidth="1"/>
    <col min="6913" max="6913" width="15.109375" style="83" customWidth="1"/>
    <col min="6914" max="6914" width="18" style="83" customWidth="1"/>
    <col min="6915" max="6915" width="15.33203125" style="83" customWidth="1"/>
    <col min="6916" max="6916" width="10.109375" style="83" customWidth="1"/>
    <col min="6917" max="6917" width="17.5546875" style="83" customWidth="1"/>
    <col min="6918" max="6918" width="42.109375" style="83" customWidth="1"/>
    <col min="6919" max="6919" width="10.109375" style="83" bestFit="1" customWidth="1"/>
    <col min="6920" max="6920" width="12.109375" style="83" customWidth="1"/>
    <col min="6921" max="7167" width="9.109375" style="83"/>
    <col min="7168" max="7168" width="3.6640625" style="83" customWidth="1"/>
    <col min="7169" max="7169" width="15.109375" style="83" customWidth="1"/>
    <col min="7170" max="7170" width="18" style="83" customWidth="1"/>
    <col min="7171" max="7171" width="15.33203125" style="83" customWidth="1"/>
    <col min="7172" max="7172" width="10.109375" style="83" customWidth="1"/>
    <col min="7173" max="7173" width="17.5546875" style="83" customWidth="1"/>
    <col min="7174" max="7174" width="42.109375" style="83" customWidth="1"/>
    <col min="7175" max="7175" width="10.109375" style="83" bestFit="1" customWidth="1"/>
    <col min="7176" max="7176" width="12.109375" style="83" customWidth="1"/>
    <col min="7177" max="7423" width="9.109375" style="83"/>
    <col min="7424" max="7424" width="3.6640625" style="83" customWidth="1"/>
    <col min="7425" max="7425" width="15.109375" style="83" customWidth="1"/>
    <col min="7426" max="7426" width="18" style="83" customWidth="1"/>
    <col min="7427" max="7427" width="15.33203125" style="83" customWidth="1"/>
    <col min="7428" max="7428" width="10.109375" style="83" customWidth="1"/>
    <col min="7429" max="7429" width="17.5546875" style="83" customWidth="1"/>
    <col min="7430" max="7430" width="42.109375" style="83" customWidth="1"/>
    <col min="7431" max="7431" width="10.109375" style="83" bestFit="1" customWidth="1"/>
    <col min="7432" max="7432" width="12.109375" style="83" customWidth="1"/>
    <col min="7433" max="7679" width="9.109375" style="83"/>
    <col min="7680" max="7680" width="3.6640625" style="83" customWidth="1"/>
    <col min="7681" max="7681" width="15.109375" style="83" customWidth="1"/>
    <col min="7682" max="7682" width="18" style="83" customWidth="1"/>
    <col min="7683" max="7683" width="15.33203125" style="83" customWidth="1"/>
    <col min="7684" max="7684" width="10.109375" style="83" customWidth="1"/>
    <col min="7685" max="7685" width="17.5546875" style="83" customWidth="1"/>
    <col min="7686" max="7686" width="42.109375" style="83" customWidth="1"/>
    <col min="7687" max="7687" width="10.109375" style="83" bestFit="1" customWidth="1"/>
    <col min="7688" max="7688" width="12.109375" style="83" customWidth="1"/>
    <col min="7689" max="7935" width="9.109375" style="83"/>
    <col min="7936" max="7936" width="3.6640625" style="83" customWidth="1"/>
    <col min="7937" max="7937" width="15.109375" style="83" customWidth="1"/>
    <col min="7938" max="7938" width="18" style="83" customWidth="1"/>
    <col min="7939" max="7939" width="15.33203125" style="83" customWidth="1"/>
    <col min="7940" max="7940" width="10.109375" style="83" customWidth="1"/>
    <col min="7941" max="7941" width="17.5546875" style="83" customWidth="1"/>
    <col min="7942" max="7942" width="42.109375" style="83" customWidth="1"/>
    <col min="7943" max="7943" width="10.109375" style="83" bestFit="1" customWidth="1"/>
    <col min="7944" max="7944" width="12.109375" style="83" customWidth="1"/>
    <col min="7945" max="8191" width="9.109375" style="83"/>
    <col min="8192" max="8192" width="3.6640625" style="83" customWidth="1"/>
    <col min="8193" max="8193" width="15.109375" style="83" customWidth="1"/>
    <col min="8194" max="8194" width="18" style="83" customWidth="1"/>
    <col min="8195" max="8195" width="15.33203125" style="83" customWidth="1"/>
    <col min="8196" max="8196" width="10.109375" style="83" customWidth="1"/>
    <col min="8197" max="8197" width="17.5546875" style="83" customWidth="1"/>
    <col min="8198" max="8198" width="42.109375" style="83" customWidth="1"/>
    <col min="8199" max="8199" width="10.109375" style="83" bestFit="1" customWidth="1"/>
    <col min="8200" max="8200" width="12.109375" style="83" customWidth="1"/>
    <col min="8201" max="8447" width="9.109375" style="83"/>
    <col min="8448" max="8448" width="3.6640625" style="83" customWidth="1"/>
    <col min="8449" max="8449" width="15.109375" style="83" customWidth="1"/>
    <col min="8450" max="8450" width="18" style="83" customWidth="1"/>
    <col min="8451" max="8451" width="15.33203125" style="83" customWidth="1"/>
    <col min="8452" max="8452" width="10.109375" style="83" customWidth="1"/>
    <col min="8453" max="8453" width="17.5546875" style="83" customWidth="1"/>
    <col min="8454" max="8454" width="42.109375" style="83" customWidth="1"/>
    <col min="8455" max="8455" width="10.109375" style="83" bestFit="1" customWidth="1"/>
    <col min="8456" max="8456" width="12.109375" style="83" customWidth="1"/>
    <col min="8457" max="8703" width="9.109375" style="83"/>
    <col min="8704" max="8704" width="3.6640625" style="83" customWidth="1"/>
    <col min="8705" max="8705" width="15.109375" style="83" customWidth="1"/>
    <col min="8706" max="8706" width="18" style="83" customWidth="1"/>
    <col min="8707" max="8707" width="15.33203125" style="83" customWidth="1"/>
    <col min="8708" max="8708" width="10.109375" style="83" customWidth="1"/>
    <col min="8709" max="8709" width="17.5546875" style="83" customWidth="1"/>
    <col min="8710" max="8710" width="42.109375" style="83" customWidth="1"/>
    <col min="8711" max="8711" width="10.109375" style="83" bestFit="1" customWidth="1"/>
    <col min="8712" max="8712" width="12.109375" style="83" customWidth="1"/>
    <col min="8713" max="8959" width="9.109375" style="83"/>
    <col min="8960" max="8960" width="3.6640625" style="83" customWidth="1"/>
    <col min="8961" max="8961" width="15.109375" style="83" customWidth="1"/>
    <col min="8962" max="8962" width="18" style="83" customWidth="1"/>
    <col min="8963" max="8963" width="15.33203125" style="83" customWidth="1"/>
    <col min="8964" max="8964" width="10.109375" style="83" customWidth="1"/>
    <col min="8965" max="8965" width="17.5546875" style="83" customWidth="1"/>
    <col min="8966" max="8966" width="42.109375" style="83" customWidth="1"/>
    <col min="8967" max="8967" width="10.109375" style="83" bestFit="1" customWidth="1"/>
    <col min="8968" max="8968" width="12.109375" style="83" customWidth="1"/>
    <col min="8969" max="9215" width="9.109375" style="83"/>
    <col min="9216" max="9216" width="3.6640625" style="83" customWidth="1"/>
    <col min="9217" max="9217" width="15.109375" style="83" customWidth="1"/>
    <col min="9218" max="9218" width="18" style="83" customWidth="1"/>
    <col min="9219" max="9219" width="15.33203125" style="83" customWidth="1"/>
    <col min="9220" max="9220" width="10.109375" style="83" customWidth="1"/>
    <col min="9221" max="9221" width="17.5546875" style="83" customWidth="1"/>
    <col min="9222" max="9222" width="42.109375" style="83" customWidth="1"/>
    <col min="9223" max="9223" width="10.109375" style="83" bestFit="1" customWidth="1"/>
    <col min="9224" max="9224" width="12.109375" style="83" customWidth="1"/>
    <col min="9225" max="9471" width="9.109375" style="83"/>
    <col min="9472" max="9472" width="3.6640625" style="83" customWidth="1"/>
    <col min="9473" max="9473" width="15.109375" style="83" customWidth="1"/>
    <col min="9474" max="9474" width="18" style="83" customWidth="1"/>
    <col min="9475" max="9475" width="15.33203125" style="83" customWidth="1"/>
    <col min="9476" max="9476" width="10.109375" style="83" customWidth="1"/>
    <col min="9477" max="9477" width="17.5546875" style="83" customWidth="1"/>
    <col min="9478" max="9478" width="42.109375" style="83" customWidth="1"/>
    <col min="9479" max="9479" width="10.109375" style="83" bestFit="1" customWidth="1"/>
    <col min="9480" max="9480" width="12.109375" style="83" customWidth="1"/>
    <col min="9481" max="9727" width="9.109375" style="83"/>
    <col min="9728" max="9728" width="3.6640625" style="83" customWidth="1"/>
    <col min="9729" max="9729" width="15.109375" style="83" customWidth="1"/>
    <col min="9730" max="9730" width="18" style="83" customWidth="1"/>
    <col min="9731" max="9731" width="15.33203125" style="83" customWidth="1"/>
    <col min="9732" max="9732" width="10.109375" style="83" customWidth="1"/>
    <col min="9733" max="9733" width="17.5546875" style="83" customWidth="1"/>
    <col min="9734" max="9734" width="42.109375" style="83" customWidth="1"/>
    <col min="9735" max="9735" width="10.109375" style="83" bestFit="1" customWidth="1"/>
    <col min="9736" max="9736" width="12.109375" style="83" customWidth="1"/>
    <col min="9737" max="9983" width="9.109375" style="83"/>
    <col min="9984" max="9984" width="3.6640625" style="83" customWidth="1"/>
    <col min="9985" max="9985" width="15.109375" style="83" customWidth="1"/>
    <col min="9986" max="9986" width="18" style="83" customWidth="1"/>
    <col min="9987" max="9987" width="15.33203125" style="83" customWidth="1"/>
    <col min="9988" max="9988" width="10.109375" style="83" customWidth="1"/>
    <col min="9989" max="9989" width="17.5546875" style="83" customWidth="1"/>
    <col min="9990" max="9990" width="42.109375" style="83" customWidth="1"/>
    <col min="9991" max="9991" width="10.109375" style="83" bestFit="1" customWidth="1"/>
    <col min="9992" max="9992" width="12.109375" style="83" customWidth="1"/>
    <col min="9993" max="10239" width="9.109375" style="83"/>
    <col min="10240" max="10240" width="3.6640625" style="83" customWidth="1"/>
    <col min="10241" max="10241" width="15.109375" style="83" customWidth="1"/>
    <col min="10242" max="10242" width="18" style="83" customWidth="1"/>
    <col min="10243" max="10243" width="15.33203125" style="83" customWidth="1"/>
    <col min="10244" max="10244" width="10.109375" style="83" customWidth="1"/>
    <col min="10245" max="10245" width="17.5546875" style="83" customWidth="1"/>
    <col min="10246" max="10246" width="42.109375" style="83" customWidth="1"/>
    <col min="10247" max="10247" width="10.109375" style="83" bestFit="1" customWidth="1"/>
    <col min="10248" max="10248" width="12.109375" style="83" customWidth="1"/>
    <col min="10249" max="10495" width="9.109375" style="83"/>
    <col min="10496" max="10496" width="3.6640625" style="83" customWidth="1"/>
    <col min="10497" max="10497" width="15.109375" style="83" customWidth="1"/>
    <col min="10498" max="10498" width="18" style="83" customWidth="1"/>
    <col min="10499" max="10499" width="15.33203125" style="83" customWidth="1"/>
    <col min="10500" max="10500" width="10.109375" style="83" customWidth="1"/>
    <col min="10501" max="10501" width="17.5546875" style="83" customWidth="1"/>
    <col min="10502" max="10502" width="42.109375" style="83" customWidth="1"/>
    <col min="10503" max="10503" width="10.109375" style="83" bestFit="1" customWidth="1"/>
    <col min="10504" max="10504" width="12.109375" style="83" customWidth="1"/>
    <col min="10505" max="10751" width="9.109375" style="83"/>
    <col min="10752" max="10752" width="3.6640625" style="83" customWidth="1"/>
    <col min="10753" max="10753" width="15.109375" style="83" customWidth="1"/>
    <col min="10754" max="10754" width="18" style="83" customWidth="1"/>
    <col min="10755" max="10755" width="15.33203125" style="83" customWidth="1"/>
    <col min="10756" max="10756" width="10.109375" style="83" customWidth="1"/>
    <col min="10757" max="10757" width="17.5546875" style="83" customWidth="1"/>
    <col min="10758" max="10758" width="42.109375" style="83" customWidth="1"/>
    <col min="10759" max="10759" width="10.109375" style="83" bestFit="1" customWidth="1"/>
    <col min="10760" max="10760" width="12.109375" style="83" customWidth="1"/>
    <col min="10761" max="11007" width="9.109375" style="83"/>
    <col min="11008" max="11008" width="3.6640625" style="83" customWidth="1"/>
    <col min="11009" max="11009" width="15.109375" style="83" customWidth="1"/>
    <col min="11010" max="11010" width="18" style="83" customWidth="1"/>
    <col min="11011" max="11011" width="15.33203125" style="83" customWidth="1"/>
    <col min="11012" max="11012" width="10.109375" style="83" customWidth="1"/>
    <col min="11013" max="11013" width="17.5546875" style="83" customWidth="1"/>
    <col min="11014" max="11014" width="42.109375" style="83" customWidth="1"/>
    <col min="11015" max="11015" width="10.109375" style="83" bestFit="1" customWidth="1"/>
    <col min="11016" max="11016" width="12.109375" style="83" customWidth="1"/>
    <col min="11017" max="11263" width="9.109375" style="83"/>
    <col min="11264" max="11264" width="3.6640625" style="83" customWidth="1"/>
    <col min="11265" max="11265" width="15.109375" style="83" customWidth="1"/>
    <col min="11266" max="11266" width="18" style="83" customWidth="1"/>
    <col min="11267" max="11267" width="15.33203125" style="83" customWidth="1"/>
    <col min="11268" max="11268" width="10.109375" style="83" customWidth="1"/>
    <col min="11269" max="11269" width="17.5546875" style="83" customWidth="1"/>
    <col min="11270" max="11270" width="42.109375" style="83" customWidth="1"/>
    <col min="11271" max="11271" width="10.109375" style="83" bestFit="1" customWidth="1"/>
    <col min="11272" max="11272" width="12.109375" style="83" customWidth="1"/>
    <col min="11273" max="11519" width="9.109375" style="83"/>
    <col min="11520" max="11520" width="3.6640625" style="83" customWidth="1"/>
    <col min="11521" max="11521" width="15.109375" style="83" customWidth="1"/>
    <col min="11522" max="11522" width="18" style="83" customWidth="1"/>
    <col min="11523" max="11523" width="15.33203125" style="83" customWidth="1"/>
    <col min="11524" max="11524" width="10.109375" style="83" customWidth="1"/>
    <col min="11525" max="11525" width="17.5546875" style="83" customWidth="1"/>
    <col min="11526" max="11526" width="42.109375" style="83" customWidth="1"/>
    <col min="11527" max="11527" width="10.109375" style="83" bestFit="1" customWidth="1"/>
    <col min="11528" max="11528" width="12.109375" style="83" customWidth="1"/>
    <col min="11529" max="11775" width="9.109375" style="83"/>
    <col min="11776" max="11776" width="3.6640625" style="83" customWidth="1"/>
    <col min="11777" max="11777" width="15.109375" style="83" customWidth="1"/>
    <col min="11778" max="11778" width="18" style="83" customWidth="1"/>
    <col min="11779" max="11779" width="15.33203125" style="83" customWidth="1"/>
    <col min="11780" max="11780" width="10.109375" style="83" customWidth="1"/>
    <col min="11781" max="11781" width="17.5546875" style="83" customWidth="1"/>
    <col min="11782" max="11782" width="42.109375" style="83" customWidth="1"/>
    <col min="11783" max="11783" width="10.109375" style="83" bestFit="1" customWidth="1"/>
    <col min="11784" max="11784" width="12.109375" style="83" customWidth="1"/>
    <col min="11785" max="12031" width="9.109375" style="83"/>
    <col min="12032" max="12032" width="3.6640625" style="83" customWidth="1"/>
    <col min="12033" max="12033" width="15.109375" style="83" customWidth="1"/>
    <col min="12034" max="12034" width="18" style="83" customWidth="1"/>
    <col min="12035" max="12035" width="15.33203125" style="83" customWidth="1"/>
    <col min="12036" max="12036" width="10.109375" style="83" customWidth="1"/>
    <col min="12037" max="12037" width="17.5546875" style="83" customWidth="1"/>
    <col min="12038" max="12038" width="42.109375" style="83" customWidth="1"/>
    <col min="12039" max="12039" width="10.109375" style="83" bestFit="1" customWidth="1"/>
    <col min="12040" max="12040" width="12.109375" style="83" customWidth="1"/>
    <col min="12041" max="12287" width="9.109375" style="83"/>
    <col min="12288" max="12288" width="3.6640625" style="83" customWidth="1"/>
    <col min="12289" max="12289" width="15.109375" style="83" customWidth="1"/>
    <col min="12290" max="12290" width="18" style="83" customWidth="1"/>
    <col min="12291" max="12291" width="15.33203125" style="83" customWidth="1"/>
    <col min="12292" max="12292" width="10.109375" style="83" customWidth="1"/>
    <col min="12293" max="12293" width="17.5546875" style="83" customWidth="1"/>
    <col min="12294" max="12294" width="42.109375" style="83" customWidth="1"/>
    <col min="12295" max="12295" width="10.109375" style="83" bestFit="1" customWidth="1"/>
    <col min="12296" max="12296" width="12.109375" style="83" customWidth="1"/>
    <col min="12297" max="12543" width="9.109375" style="83"/>
    <col min="12544" max="12544" width="3.6640625" style="83" customWidth="1"/>
    <col min="12545" max="12545" width="15.109375" style="83" customWidth="1"/>
    <col min="12546" max="12546" width="18" style="83" customWidth="1"/>
    <col min="12547" max="12547" width="15.33203125" style="83" customWidth="1"/>
    <col min="12548" max="12548" width="10.109375" style="83" customWidth="1"/>
    <col min="12549" max="12549" width="17.5546875" style="83" customWidth="1"/>
    <col min="12550" max="12550" width="42.109375" style="83" customWidth="1"/>
    <col min="12551" max="12551" width="10.109375" style="83" bestFit="1" customWidth="1"/>
    <col min="12552" max="12552" width="12.109375" style="83" customWidth="1"/>
    <col min="12553" max="12799" width="9.109375" style="83"/>
    <col min="12800" max="12800" width="3.6640625" style="83" customWidth="1"/>
    <col min="12801" max="12801" width="15.109375" style="83" customWidth="1"/>
    <col min="12802" max="12802" width="18" style="83" customWidth="1"/>
    <col min="12803" max="12803" width="15.33203125" style="83" customWidth="1"/>
    <col min="12804" max="12804" width="10.109375" style="83" customWidth="1"/>
    <col min="12805" max="12805" width="17.5546875" style="83" customWidth="1"/>
    <col min="12806" max="12806" width="42.109375" style="83" customWidth="1"/>
    <col min="12807" max="12807" width="10.109375" style="83" bestFit="1" customWidth="1"/>
    <col min="12808" max="12808" width="12.109375" style="83" customWidth="1"/>
    <col min="12809" max="13055" width="9.109375" style="83"/>
    <col min="13056" max="13056" width="3.6640625" style="83" customWidth="1"/>
    <col min="13057" max="13057" width="15.109375" style="83" customWidth="1"/>
    <col min="13058" max="13058" width="18" style="83" customWidth="1"/>
    <col min="13059" max="13059" width="15.33203125" style="83" customWidth="1"/>
    <col min="13060" max="13060" width="10.109375" style="83" customWidth="1"/>
    <col min="13061" max="13061" width="17.5546875" style="83" customWidth="1"/>
    <col min="13062" max="13062" width="42.109375" style="83" customWidth="1"/>
    <col min="13063" max="13063" width="10.109375" style="83" bestFit="1" customWidth="1"/>
    <col min="13064" max="13064" width="12.109375" style="83" customWidth="1"/>
    <col min="13065" max="13311" width="9.109375" style="83"/>
    <col min="13312" max="13312" width="3.6640625" style="83" customWidth="1"/>
    <col min="13313" max="13313" width="15.109375" style="83" customWidth="1"/>
    <col min="13314" max="13314" width="18" style="83" customWidth="1"/>
    <col min="13315" max="13315" width="15.33203125" style="83" customWidth="1"/>
    <col min="13316" max="13316" width="10.109375" style="83" customWidth="1"/>
    <col min="13317" max="13317" width="17.5546875" style="83" customWidth="1"/>
    <col min="13318" max="13318" width="42.109375" style="83" customWidth="1"/>
    <col min="13319" max="13319" width="10.109375" style="83" bestFit="1" customWidth="1"/>
    <col min="13320" max="13320" width="12.109375" style="83" customWidth="1"/>
    <col min="13321" max="13567" width="9.109375" style="83"/>
    <col min="13568" max="13568" width="3.6640625" style="83" customWidth="1"/>
    <col min="13569" max="13569" width="15.109375" style="83" customWidth="1"/>
    <col min="13570" max="13570" width="18" style="83" customWidth="1"/>
    <col min="13571" max="13571" width="15.33203125" style="83" customWidth="1"/>
    <col min="13572" max="13572" width="10.109375" style="83" customWidth="1"/>
    <col min="13573" max="13573" width="17.5546875" style="83" customWidth="1"/>
    <col min="13574" max="13574" width="42.109375" style="83" customWidth="1"/>
    <col min="13575" max="13575" width="10.109375" style="83" bestFit="1" customWidth="1"/>
    <col min="13576" max="13576" width="12.109375" style="83" customWidth="1"/>
    <col min="13577" max="13823" width="9.109375" style="83"/>
    <col min="13824" max="13824" width="3.6640625" style="83" customWidth="1"/>
    <col min="13825" max="13825" width="15.109375" style="83" customWidth="1"/>
    <col min="13826" max="13826" width="18" style="83" customWidth="1"/>
    <col min="13827" max="13827" width="15.33203125" style="83" customWidth="1"/>
    <col min="13828" max="13828" width="10.109375" style="83" customWidth="1"/>
    <col min="13829" max="13829" width="17.5546875" style="83" customWidth="1"/>
    <col min="13830" max="13830" width="42.109375" style="83" customWidth="1"/>
    <col min="13831" max="13831" width="10.109375" style="83" bestFit="1" customWidth="1"/>
    <col min="13832" max="13832" width="12.109375" style="83" customWidth="1"/>
    <col min="13833" max="14079" width="9.109375" style="83"/>
    <col min="14080" max="14080" width="3.6640625" style="83" customWidth="1"/>
    <col min="14081" max="14081" width="15.109375" style="83" customWidth="1"/>
    <col min="14082" max="14082" width="18" style="83" customWidth="1"/>
    <col min="14083" max="14083" width="15.33203125" style="83" customWidth="1"/>
    <col min="14084" max="14084" width="10.109375" style="83" customWidth="1"/>
    <col min="14085" max="14085" width="17.5546875" style="83" customWidth="1"/>
    <col min="14086" max="14086" width="42.109375" style="83" customWidth="1"/>
    <col min="14087" max="14087" width="10.109375" style="83" bestFit="1" customWidth="1"/>
    <col min="14088" max="14088" width="12.109375" style="83" customWidth="1"/>
    <col min="14089" max="14335" width="9.109375" style="83"/>
    <col min="14336" max="14336" width="3.6640625" style="83" customWidth="1"/>
    <col min="14337" max="14337" width="15.109375" style="83" customWidth="1"/>
    <col min="14338" max="14338" width="18" style="83" customWidth="1"/>
    <col min="14339" max="14339" width="15.33203125" style="83" customWidth="1"/>
    <col min="14340" max="14340" width="10.109375" style="83" customWidth="1"/>
    <col min="14341" max="14341" width="17.5546875" style="83" customWidth="1"/>
    <col min="14342" max="14342" width="42.109375" style="83" customWidth="1"/>
    <col min="14343" max="14343" width="10.109375" style="83" bestFit="1" customWidth="1"/>
    <col min="14344" max="14344" width="12.109375" style="83" customWidth="1"/>
    <col min="14345" max="14591" width="9.109375" style="83"/>
    <col min="14592" max="14592" width="3.6640625" style="83" customWidth="1"/>
    <col min="14593" max="14593" width="15.109375" style="83" customWidth="1"/>
    <col min="14594" max="14594" width="18" style="83" customWidth="1"/>
    <col min="14595" max="14595" width="15.33203125" style="83" customWidth="1"/>
    <col min="14596" max="14596" width="10.109375" style="83" customWidth="1"/>
    <col min="14597" max="14597" width="17.5546875" style="83" customWidth="1"/>
    <col min="14598" max="14598" width="42.109375" style="83" customWidth="1"/>
    <col min="14599" max="14599" width="10.109375" style="83" bestFit="1" customWidth="1"/>
    <col min="14600" max="14600" width="12.109375" style="83" customWidth="1"/>
    <col min="14601" max="14847" width="9.109375" style="83"/>
    <col min="14848" max="14848" width="3.6640625" style="83" customWidth="1"/>
    <col min="14849" max="14849" width="15.109375" style="83" customWidth="1"/>
    <col min="14850" max="14850" width="18" style="83" customWidth="1"/>
    <col min="14851" max="14851" width="15.33203125" style="83" customWidth="1"/>
    <col min="14852" max="14852" width="10.109375" style="83" customWidth="1"/>
    <col min="14853" max="14853" width="17.5546875" style="83" customWidth="1"/>
    <col min="14854" max="14854" width="42.109375" style="83" customWidth="1"/>
    <col min="14855" max="14855" width="10.109375" style="83" bestFit="1" customWidth="1"/>
    <col min="14856" max="14856" width="12.109375" style="83" customWidth="1"/>
    <col min="14857" max="15103" width="9.109375" style="83"/>
    <col min="15104" max="15104" width="3.6640625" style="83" customWidth="1"/>
    <col min="15105" max="15105" width="15.109375" style="83" customWidth="1"/>
    <col min="15106" max="15106" width="18" style="83" customWidth="1"/>
    <col min="15107" max="15107" width="15.33203125" style="83" customWidth="1"/>
    <col min="15108" max="15108" width="10.109375" style="83" customWidth="1"/>
    <col min="15109" max="15109" width="17.5546875" style="83" customWidth="1"/>
    <col min="15110" max="15110" width="42.109375" style="83" customWidth="1"/>
    <col min="15111" max="15111" width="10.109375" style="83" bestFit="1" customWidth="1"/>
    <col min="15112" max="15112" width="12.109375" style="83" customWidth="1"/>
    <col min="15113" max="15359" width="9.109375" style="83"/>
    <col min="15360" max="15360" width="3.6640625" style="83" customWidth="1"/>
    <col min="15361" max="15361" width="15.109375" style="83" customWidth="1"/>
    <col min="15362" max="15362" width="18" style="83" customWidth="1"/>
    <col min="15363" max="15363" width="15.33203125" style="83" customWidth="1"/>
    <col min="15364" max="15364" width="10.109375" style="83" customWidth="1"/>
    <col min="15365" max="15365" width="17.5546875" style="83" customWidth="1"/>
    <col min="15366" max="15366" width="42.109375" style="83" customWidth="1"/>
    <col min="15367" max="15367" width="10.109375" style="83" bestFit="1" customWidth="1"/>
    <col min="15368" max="15368" width="12.109375" style="83" customWidth="1"/>
    <col min="15369" max="15615" width="9.109375" style="83"/>
    <col min="15616" max="15616" width="3.6640625" style="83" customWidth="1"/>
    <col min="15617" max="15617" width="15.109375" style="83" customWidth="1"/>
    <col min="15618" max="15618" width="18" style="83" customWidth="1"/>
    <col min="15619" max="15619" width="15.33203125" style="83" customWidth="1"/>
    <col min="15620" max="15620" width="10.109375" style="83" customWidth="1"/>
    <col min="15621" max="15621" width="17.5546875" style="83" customWidth="1"/>
    <col min="15622" max="15622" width="42.109375" style="83" customWidth="1"/>
    <col min="15623" max="15623" width="10.109375" style="83" bestFit="1" customWidth="1"/>
    <col min="15624" max="15624" width="12.109375" style="83" customWidth="1"/>
    <col min="15625" max="15871" width="9.109375" style="83"/>
    <col min="15872" max="15872" width="3.6640625" style="83" customWidth="1"/>
    <col min="15873" max="15873" width="15.109375" style="83" customWidth="1"/>
    <col min="15874" max="15874" width="18" style="83" customWidth="1"/>
    <col min="15875" max="15875" width="15.33203125" style="83" customWidth="1"/>
    <col min="15876" max="15876" width="10.109375" style="83" customWidth="1"/>
    <col min="15877" max="15877" width="17.5546875" style="83" customWidth="1"/>
    <col min="15878" max="15878" width="42.109375" style="83" customWidth="1"/>
    <col min="15879" max="15879" width="10.109375" style="83" bestFit="1" customWidth="1"/>
    <col min="15880" max="15880" width="12.109375" style="83" customWidth="1"/>
    <col min="15881" max="16127" width="9.109375" style="83"/>
    <col min="16128" max="16128" width="3.6640625" style="83" customWidth="1"/>
    <col min="16129" max="16129" width="15.109375" style="83" customWidth="1"/>
    <col min="16130" max="16130" width="18" style="83" customWidth="1"/>
    <col min="16131" max="16131" width="15.33203125" style="83" customWidth="1"/>
    <col min="16132" max="16132" width="10.109375" style="83" customWidth="1"/>
    <col min="16133" max="16133" width="17.5546875" style="83" customWidth="1"/>
    <col min="16134" max="16134" width="42.109375" style="83" customWidth="1"/>
    <col min="16135" max="16135" width="10.109375" style="83" bestFit="1" customWidth="1"/>
    <col min="16136" max="16136" width="12.109375" style="83" customWidth="1"/>
    <col min="16137" max="16383" width="9.109375" style="83"/>
    <col min="16384" max="16384" width="9.109375" style="83" customWidth="1"/>
  </cols>
  <sheetData>
    <row r="1" spans="1:9" ht="13.2" x14ac:dyDescent="0.25">
      <c r="A1" s="741" t="s">
        <v>1591</v>
      </c>
      <c r="B1" s="741"/>
      <c r="C1" s="741"/>
      <c r="D1" s="741"/>
      <c r="E1" s="741"/>
      <c r="F1" s="741"/>
      <c r="G1" s="685"/>
      <c r="H1" s="685"/>
      <c r="I1" s="85"/>
    </row>
    <row r="2" spans="1:9" x14ac:dyDescent="0.25">
      <c r="B2" s="81"/>
      <c r="C2" s="82"/>
      <c r="D2" s="86"/>
      <c r="E2" s="87"/>
      <c r="F2" s="87"/>
      <c r="H2" s="84"/>
      <c r="I2" s="85"/>
    </row>
    <row r="3" spans="1:9" x14ac:dyDescent="0.3">
      <c r="A3" s="80">
        <v>1</v>
      </c>
      <c r="B3" s="88" t="s">
        <v>333</v>
      </c>
      <c r="C3" s="83"/>
      <c r="D3" s="83"/>
      <c r="E3" s="83"/>
      <c r="F3" s="83"/>
      <c r="H3" s="84"/>
      <c r="I3" s="85"/>
    </row>
    <row r="4" spans="1:9" x14ac:dyDescent="0.3">
      <c r="B4" s="83"/>
      <c r="C4" s="89" t="s">
        <v>334</v>
      </c>
      <c r="D4" s="743" t="s">
        <v>335</v>
      </c>
      <c r="E4" s="743"/>
      <c r="F4" s="743"/>
      <c r="G4" s="694" t="s">
        <v>1580</v>
      </c>
      <c r="H4" s="84"/>
      <c r="I4" s="85"/>
    </row>
    <row r="5" spans="1:9" x14ac:dyDescent="0.25">
      <c r="B5" s="83"/>
      <c r="C5" s="83"/>
      <c r="D5" s="83"/>
      <c r="E5" s="83"/>
      <c r="F5" s="83"/>
      <c r="H5" s="84"/>
      <c r="I5" s="85"/>
    </row>
    <row r="6" spans="1:9" x14ac:dyDescent="0.3">
      <c r="B6" s="83"/>
      <c r="C6" s="89" t="s">
        <v>336</v>
      </c>
      <c r="D6" s="743" t="s">
        <v>89</v>
      </c>
      <c r="E6" s="743"/>
      <c r="F6" s="743"/>
      <c r="H6" s="84"/>
      <c r="I6" s="85"/>
    </row>
    <row r="7" spans="1:9" x14ac:dyDescent="0.25">
      <c r="B7" s="83"/>
      <c r="C7" s="83"/>
      <c r="D7" s="742"/>
      <c r="E7" s="742"/>
      <c r="F7" s="742"/>
      <c r="H7" s="84"/>
      <c r="I7" s="85"/>
    </row>
    <row r="8" spans="1:9" x14ac:dyDescent="0.3">
      <c r="B8" s="83"/>
      <c r="C8" s="89" t="s">
        <v>337</v>
      </c>
      <c r="D8" s="744" t="s">
        <v>338</v>
      </c>
      <c r="E8" s="744"/>
      <c r="F8" s="744"/>
      <c r="H8" s="84"/>
      <c r="I8" s="85"/>
    </row>
    <row r="9" spans="1:9" x14ac:dyDescent="0.3">
      <c r="A9" s="80">
        <v>2</v>
      </c>
      <c r="B9" s="88" t="s">
        <v>339</v>
      </c>
      <c r="C9" s="83"/>
      <c r="D9" s="83"/>
      <c r="E9" s="83"/>
      <c r="F9" s="83"/>
      <c r="H9" s="84"/>
      <c r="I9" s="85"/>
    </row>
    <row r="10" spans="1:9" x14ac:dyDescent="0.3">
      <c r="B10" s="83"/>
      <c r="C10" s="90" t="s">
        <v>340</v>
      </c>
      <c r="D10" s="742"/>
      <c r="E10" s="742"/>
      <c r="F10" s="742"/>
      <c r="H10" s="84"/>
      <c r="I10" s="85"/>
    </row>
    <row r="11" spans="1:9" ht="25.8" customHeight="1" x14ac:dyDescent="0.3">
      <c r="B11" s="83"/>
      <c r="C11" s="90" t="s">
        <v>341</v>
      </c>
      <c r="D11" s="744" t="s">
        <v>1700</v>
      </c>
      <c r="E11" s="744"/>
      <c r="F11" s="744"/>
      <c r="G11" s="754"/>
      <c r="H11" s="84"/>
      <c r="I11" s="85"/>
    </row>
    <row r="12" spans="1:9" x14ac:dyDescent="0.3">
      <c r="B12" s="83"/>
      <c r="C12" s="90" t="s">
        <v>342</v>
      </c>
      <c r="D12" s="744" t="s">
        <v>343</v>
      </c>
      <c r="E12" s="744"/>
      <c r="F12" s="744"/>
      <c r="G12" s="754"/>
      <c r="H12" s="84"/>
      <c r="I12" s="85"/>
    </row>
    <row r="13" spans="1:9" s="91" customFormat="1" x14ac:dyDescent="0.3">
      <c r="A13" s="80"/>
      <c r="B13" s="83"/>
      <c r="C13" s="90" t="s">
        <v>344</v>
      </c>
      <c r="D13" s="744" t="s">
        <v>345</v>
      </c>
      <c r="E13" s="744"/>
      <c r="F13" s="744"/>
      <c r="G13" s="754"/>
      <c r="H13" s="92"/>
      <c r="I13" s="93"/>
    </row>
    <row r="14" spans="1:9" x14ac:dyDescent="0.3">
      <c r="B14" s="83"/>
      <c r="C14" s="90" t="s">
        <v>346</v>
      </c>
      <c r="D14" s="746" t="s">
        <v>347</v>
      </c>
      <c r="E14" s="746"/>
      <c r="F14" s="746"/>
      <c r="G14" s="754"/>
      <c r="H14" s="84"/>
      <c r="I14" s="85"/>
    </row>
    <row r="15" spans="1:9" s="91" customFormat="1" x14ac:dyDescent="0.3">
      <c r="A15" s="80"/>
      <c r="B15" s="83"/>
      <c r="C15" s="90" t="s">
        <v>348</v>
      </c>
      <c r="D15" s="744" t="s">
        <v>349</v>
      </c>
      <c r="E15" s="744"/>
      <c r="F15" s="744"/>
      <c r="G15" s="754"/>
      <c r="H15" s="92"/>
      <c r="I15" s="93"/>
    </row>
    <row r="16" spans="1:9" s="91" customFormat="1" ht="27.6" x14ac:dyDescent="0.3">
      <c r="A16" s="80"/>
      <c r="B16" s="83"/>
      <c r="C16" s="90" t="s">
        <v>350</v>
      </c>
      <c r="D16" s="744" t="s">
        <v>351</v>
      </c>
      <c r="E16" s="744"/>
      <c r="F16" s="744"/>
      <c r="G16" s="754"/>
      <c r="H16" s="92"/>
      <c r="I16" s="93"/>
    </row>
    <row r="17" spans="1:9" x14ac:dyDescent="0.3">
      <c r="B17" s="83"/>
      <c r="C17" s="90" t="s">
        <v>352</v>
      </c>
      <c r="D17" s="83"/>
      <c r="E17" s="83"/>
      <c r="F17" s="83"/>
      <c r="G17" s="754"/>
      <c r="H17" s="84"/>
      <c r="I17" s="85"/>
    </row>
    <row r="18" spans="1:9" x14ac:dyDescent="0.3">
      <c r="B18" s="83"/>
      <c r="C18" s="90" t="s">
        <v>353</v>
      </c>
      <c r="D18" s="744" t="s">
        <v>354</v>
      </c>
      <c r="E18" s="744"/>
      <c r="F18" s="744"/>
      <c r="G18" s="754"/>
      <c r="H18" s="84"/>
      <c r="I18" s="85"/>
    </row>
    <row r="19" spans="1:9" ht="14.25" customHeight="1" x14ac:dyDescent="0.25">
      <c r="B19" s="83"/>
      <c r="C19" s="83"/>
      <c r="D19" s="83"/>
      <c r="E19" s="83"/>
      <c r="F19" s="83"/>
      <c r="G19" s="754"/>
      <c r="H19" s="84"/>
      <c r="I19" s="85"/>
    </row>
    <row r="20" spans="1:9" ht="16.5" customHeight="1" x14ac:dyDescent="0.3">
      <c r="B20" s="83"/>
      <c r="C20" s="90" t="s">
        <v>355</v>
      </c>
      <c r="D20" s="744" t="s">
        <v>356</v>
      </c>
      <c r="E20" s="744"/>
      <c r="F20" s="744"/>
      <c r="H20" s="84"/>
      <c r="I20" s="85"/>
    </row>
    <row r="21" spans="1:9" ht="51" customHeight="1" x14ac:dyDescent="0.25">
      <c r="B21" s="83"/>
      <c r="C21" s="94" t="s">
        <v>357</v>
      </c>
      <c r="D21" s="747" t="s">
        <v>358</v>
      </c>
      <c r="E21" s="747"/>
      <c r="F21" s="747"/>
      <c r="H21" s="84"/>
      <c r="I21" s="85"/>
    </row>
    <row r="22" spans="1:9" s="91" customFormat="1" x14ac:dyDescent="0.3">
      <c r="A22" s="80"/>
      <c r="B22" s="83"/>
      <c r="C22" s="90" t="s">
        <v>359</v>
      </c>
      <c r="D22" s="747" t="s">
        <v>360</v>
      </c>
      <c r="E22" s="747"/>
      <c r="F22" s="747"/>
      <c r="H22" s="92"/>
      <c r="I22" s="93"/>
    </row>
    <row r="23" spans="1:9" ht="15" customHeight="1" x14ac:dyDescent="0.3">
      <c r="B23" s="83"/>
      <c r="C23" s="90" t="s">
        <v>361</v>
      </c>
      <c r="D23" s="747" t="s">
        <v>362</v>
      </c>
      <c r="E23" s="747"/>
      <c r="F23" s="747"/>
      <c r="H23" s="84"/>
      <c r="I23" s="85"/>
    </row>
    <row r="24" spans="1:9" x14ac:dyDescent="0.3">
      <c r="B24" s="83"/>
      <c r="C24" s="90" t="s">
        <v>363</v>
      </c>
      <c r="D24" s="83"/>
      <c r="E24" s="83"/>
      <c r="F24" s="83"/>
      <c r="H24" s="84"/>
      <c r="I24" s="85"/>
    </row>
    <row r="25" spans="1:9" s="91" customFormat="1" x14ac:dyDescent="0.3">
      <c r="A25" s="80"/>
      <c r="B25" s="83"/>
      <c r="C25" s="83"/>
      <c r="D25" s="89" t="s">
        <v>364</v>
      </c>
      <c r="E25" s="745" t="s">
        <v>365</v>
      </c>
      <c r="F25" s="745"/>
      <c r="H25" s="92"/>
      <c r="I25" s="93"/>
    </row>
    <row r="26" spans="1:9" ht="13.5" customHeight="1" x14ac:dyDescent="0.3">
      <c r="B26" s="83"/>
      <c r="C26" s="83"/>
      <c r="D26" s="89" t="s">
        <v>366</v>
      </c>
      <c r="E26" s="745" t="s">
        <v>367</v>
      </c>
      <c r="F26" s="745"/>
      <c r="H26" s="84"/>
      <c r="I26" s="85"/>
    </row>
    <row r="27" spans="1:9" ht="27.6" x14ac:dyDescent="0.3">
      <c r="B27" s="83"/>
      <c r="C27" s="83"/>
      <c r="D27" s="89" t="s">
        <v>368</v>
      </c>
      <c r="E27" s="745" t="s">
        <v>369</v>
      </c>
      <c r="F27" s="745"/>
      <c r="H27" s="84"/>
      <c r="I27" s="85"/>
    </row>
    <row r="28" spans="1:9" s="91" customFormat="1" x14ac:dyDescent="0.3">
      <c r="A28" s="80"/>
      <c r="B28" s="83"/>
      <c r="C28" s="83"/>
      <c r="D28" s="95" t="s">
        <v>370</v>
      </c>
      <c r="E28" s="745" t="s">
        <v>371</v>
      </c>
      <c r="F28" s="745"/>
      <c r="H28" s="92"/>
      <c r="I28" s="93"/>
    </row>
    <row r="29" spans="1:9" x14ac:dyDescent="0.3">
      <c r="B29" s="83"/>
      <c r="C29" s="83"/>
      <c r="D29" s="89" t="s">
        <v>372</v>
      </c>
      <c r="E29" s="745" t="s">
        <v>373</v>
      </c>
      <c r="F29" s="745"/>
      <c r="H29" s="84"/>
      <c r="I29" s="85"/>
    </row>
    <row r="30" spans="1:9" x14ac:dyDescent="0.3">
      <c r="B30" s="89"/>
      <c r="C30" s="83"/>
      <c r="D30" s="83"/>
      <c r="E30" s="83"/>
      <c r="F30" s="83"/>
      <c r="H30" s="84"/>
      <c r="I30" s="85"/>
    </row>
    <row r="31" spans="1:9" s="91" customFormat="1" ht="15.6" x14ac:dyDescent="0.3">
      <c r="A31" s="80"/>
      <c r="B31" s="96"/>
      <c r="C31" s="83"/>
      <c r="D31" s="83"/>
      <c r="E31" s="83"/>
      <c r="F31" s="83"/>
      <c r="H31" s="92"/>
      <c r="I31" s="93"/>
    </row>
    <row r="32" spans="1:9" x14ac:dyDescent="0.3">
      <c r="B32" s="83"/>
      <c r="C32" s="90" t="s">
        <v>374</v>
      </c>
      <c r="D32" s="83"/>
      <c r="E32" s="83"/>
      <c r="F32" s="83"/>
      <c r="H32" s="84"/>
      <c r="I32" s="85"/>
    </row>
    <row r="33" spans="1:9" x14ac:dyDescent="0.3">
      <c r="B33" s="83"/>
      <c r="C33" s="83"/>
      <c r="D33" s="89" t="s">
        <v>375</v>
      </c>
      <c r="E33" s="744" t="s">
        <v>376</v>
      </c>
      <c r="F33" s="744"/>
      <c r="H33" s="84"/>
      <c r="I33" s="85"/>
    </row>
    <row r="34" spans="1:9" s="91" customFormat="1" ht="42.75" customHeight="1" x14ac:dyDescent="0.3">
      <c r="A34" s="80"/>
      <c r="B34" s="83"/>
      <c r="C34" s="83"/>
      <c r="D34" s="89" t="s">
        <v>377</v>
      </c>
      <c r="E34" s="748" t="s">
        <v>378</v>
      </c>
      <c r="F34" s="748"/>
      <c r="H34" s="92"/>
      <c r="I34" s="93"/>
    </row>
    <row r="35" spans="1:9" s="91" customFormat="1" x14ac:dyDescent="0.25">
      <c r="A35" s="80"/>
      <c r="B35" s="83"/>
      <c r="C35" s="83"/>
      <c r="D35" s="83"/>
      <c r="E35" s="83"/>
      <c r="F35" s="83"/>
      <c r="H35" s="92"/>
      <c r="I35" s="93"/>
    </row>
    <row r="36" spans="1:9" s="91" customFormat="1" x14ac:dyDescent="0.25">
      <c r="A36" s="80"/>
      <c r="B36" s="83"/>
      <c r="C36" s="83"/>
      <c r="D36" s="83"/>
      <c r="E36" s="83"/>
      <c r="F36" s="83"/>
      <c r="H36" s="92"/>
      <c r="I36" s="93"/>
    </row>
    <row r="37" spans="1:9" s="91" customFormat="1" x14ac:dyDescent="0.3">
      <c r="A37" s="80"/>
      <c r="B37" s="83"/>
      <c r="C37" s="83"/>
      <c r="D37" s="89" t="s">
        <v>379</v>
      </c>
      <c r="E37" s="744" t="s">
        <v>380</v>
      </c>
      <c r="F37" s="744"/>
      <c r="H37" s="92"/>
      <c r="I37" s="93"/>
    </row>
    <row r="38" spans="1:9" s="91" customFormat="1" x14ac:dyDescent="0.3">
      <c r="A38" s="80"/>
      <c r="B38" s="83"/>
      <c r="C38" s="83"/>
      <c r="D38" s="89" t="s">
        <v>381</v>
      </c>
      <c r="E38" s="744" t="s">
        <v>382</v>
      </c>
      <c r="F38" s="744"/>
      <c r="H38" s="92"/>
      <c r="I38" s="93"/>
    </row>
    <row r="39" spans="1:9" s="91" customFormat="1" x14ac:dyDescent="0.3">
      <c r="A39" s="80"/>
      <c r="B39" s="83"/>
      <c r="C39" s="83"/>
      <c r="D39" s="89" t="s">
        <v>383</v>
      </c>
      <c r="E39" s="744" t="s">
        <v>384</v>
      </c>
      <c r="F39" s="744"/>
      <c r="H39" s="92"/>
      <c r="I39" s="93"/>
    </row>
    <row r="40" spans="1:9" x14ac:dyDescent="0.3">
      <c r="B40" s="83"/>
      <c r="C40" s="83"/>
      <c r="D40" s="89" t="s">
        <v>385</v>
      </c>
      <c r="E40" s="744" t="s">
        <v>386</v>
      </c>
      <c r="F40" s="744"/>
      <c r="H40" s="84"/>
      <c r="I40" s="85"/>
    </row>
    <row r="41" spans="1:9" ht="39.75" customHeight="1" x14ac:dyDescent="0.3">
      <c r="B41" s="83"/>
      <c r="C41" s="83"/>
      <c r="D41" s="89" t="s">
        <v>387</v>
      </c>
      <c r="E41" s="744" t="s">
        <v>388</v>
      </c>
      <c r="F41" s="744"/>
      <c r="H41" s="84"/>
      <c r="I41" s="85"/>
    </row>
    <row r="42" spans="1:9" s="91" customFormat="1" ht="35.25" customHeight="1" x14ac:dyDescent="0.3">
      <c r="A42" s="80"/>
      <c r="B42" s="83"/>
      <c r="C42" s="83"/>
      <c r="D42" s="89" t="s">
        <v>389</v>
      </c>
      <c r="E42" s="744" t="s">
        <v>390</v>
      </c>
      <c r="F42" s="744"/>
      <c r="H42" s="92"/>
      <c r="I42" s="93"/>
    </row>
    <row r="43" spans="1:9" ht="13.5" customHeight="1" x14ac:dyDescent="0.3">
      <c r="B43" s="83"/>
      <c r="C43" s="90" t="s">
        <v>391</v>
      </c>
      <c r="D43" s="83"/>
      <c r="E43" s="744" t="s">
        <v>392</v>
      </c>
      <c r="F43" s="744"/>
      <c r="H43" s="84"/>
      <c r="I43" s="85"/>
    </row>
    <row r="44" spans="1:9" x14ac:dyDescent="0.3">
      <c r="B44" s="83"/>
      <c r="C44" s="83"/>
      <c r="D44" s="89" t="s">
        <v>364</v>
      </c>
      <c r="E44" s="744" t="s">
        <v>393</v>
      </c>
      <c r="F44" s="744"/>
      <c r="H44" s="84"/>
      <c r="I44" s="85"/>
    </row>
    <row r="45" spans="1:9" x14ac:dyDescent="0.3">
      <c r="B45" s="83"/>
      <c r="C45" s="83"/>
      <c r="D45" s="89" t="s">
        <v>394</v>
      </c>
      <c r="E45" s="744" t="s">
        <v>395</v>
      </c>
      <c r="F45" s="744"/>
      <c r="H45" s="84"/>
      <c r="I45" s="85"/>
    </row>
    <row r="46" spans="1:9" x14ac:dyDescent="0.3">
      <c r="B46" s="83"/>
      <c r="C46" s="83"/>
      <c r="D46" s="89" t="s">
        <v>396</v>
      </c>
      <c r="E46" s="742"/>
      <c r="F46" s="742"/>
      <c r="H46" s="84"/>
      <c r="I46" s="85"/>
    </row>
    <row r="47" spans="1:9" ht="30" customHeight="1" x14ac:dyDescent="0.3">
      <c r="B47" s="83"/>
      <c r="C47" s="83"/>
      <c r="D47" s="89" t="s">
        <v>397</v>
      </c>
      <c r="E47" s="744" t="s">
        <v>1789</v>
      </c>
      <c r="F47" s="744"/>
      <c r="H47" s="84"/>
      <c r="I47" s="85"/>
    </row>
    <row r="48" spans="1:9" ht="27.6" x14ac:dyDescent="0.3">
      <c r="B48" s="83"/>
      <c r="C48" s="90" t="s">
        <v>398</v>
      </c>
      <c r="D48" s="746" t="s">
        <v>399</v>
      </c>
      <c r="E48" s="746"/>
      <c r="F48" s="746"/>
      <c r="H48" s="84"/>
      <c r="I48" s="85"/>
    </row>
    <row r="49" spans="1:9" x14ac:dyDescent="0.3">
      <c r="B49" s="83"/>
      <c r="C49" s="90" t="s">
        <v>400</v>
      </c>
      <c r="D49" s="746" t="s">
        <v>401</v>
      </c>
      <c r="E49" s="746"/>
      <c r="F49" s="746"/>
      <c r="H49" s="84"/>
      <c r="I49" s="85"/>
    </row>
    <row r="50" spans="1:9" x14ac:dyDescent="0.3">
      <c r="B50" s="83"/>
      <c r="C50" s="90" t="s">
        <v>402</v>
      </c>
      <c r="D50" s="746" t="s">
        <v>403</v>
      </c>
      <c r="E50" s="746"/>
      <c r="F50" s="746"/>
      <c r="H50" s="84"/>
      <c r="I50" s="85"/>
    </row>
    <row r="51" spans="1:9" ht="33.75" customHeight="1" x14ac:dyDescent="0.3">
      <c r="B51" s="83"/>
      <c r="C51" s="90" t="s">
        <v>404</v>
      </c>
      <c r="D51" s="747" t="s">
        <v>405</v>
      </c>
      <c r="E51" s="747"/>
      <c r="F51" s="747"/>
      <c r="H51" s="84"/>
      <c r="I51" s="85"/>
    </row>
    <row r="52" spans="1:9" ht="33.75" customHeight="1" x14ac:dyDescent="0.3">
      <c r="B52" s="83"/>
      <c r="C52" s="90"/>
      <c r="D52" s="119"/>
      <c r="E52" s="119"/>
      <c r="F52" s="119"/>
      <c r="H52" s="84"/>
      <c r="I52" s="85"/>
    </row>
    <row r="53" spans="1:9" ht="28.2" customHeight="1" x14ac:dyDescent="0.3">
      <c r="A53" s="80">
        <v>3</v>
      </c>
      <c r="B53" s="751" t="s">
        <v>1572</v>
      </c>
      <c r="C53" s="751"/>
      <c r="D53" s="83"/>
      <c r="E53" s="83"/>
      <c r="F53" s="90"/>
      <c r="H53" s="84"/>
      <c r="I53" s="85"/>
    </row>
    <row r="54" spans="1:9" x14ac:dyDescent="0.3">
      <c r="B54" s="746" t="s">
        <v>407</v>
      </c>
      <c r="C54" s="746"/>
      <c r="D54" s="746"/>
      <c r="E54" s="83"/>
      <c r="F54" s="83"/>
      <c r="H54" s="84"/>
      <c r="I54" s="85"/>
    </row>
    <row r="55" spans="1:9" s="91" customFormat="1" x14ac:dyDescent="0.3">
      <c r="A55" s="80">
        <v>4</v>
      </c>
      <c r="B55" s="751" t="s">
        <v>1573</v>
      </c>
      <c r="C55" s="751"/>
      <c r="D55" s="751"/>
      <c r="E55" s="83"/>
      <c r="F55" s="90"/>
      <c r="H55" s="92"/>
      <c r="I55" s="93"/>
    </row>
    <row r="56" spans="1:9" x14ac:dyDescent="0.3">
      <c r="A56" s="80">
        <v>5</v>
      </c>
      <c r="B56" s="751" t="s">
        <v>1574</v>
      </c>
      <c r="C56" s="751"/>
      <c r="D56" s="751"/>
      <c r="E56" s="83"/>
      <c r="F56" s="90"/>
      <c r="H56" s="84"/>
      <c r="I56" s="85"/>
    </row>
    <row r="57" spans="1:9" x14ac:dyDescent="0.3">
      <c r="B57" s="746" t="s">
        <v>408</v>
      </c>
      <c r="C57" s="746"/>
      <c r="D57" s="746"/>
      <c r="E57" s="83"/>
      <c r="F57" s="83"/>
      <c r="H57" s="84"/>
      <c r="I57" s="85"/>
    </row>
    <row r="58" spans="1:9" ht="31.5" customHeight="1" x14ac:dyDescent="0.3">
      <c r="B58" s="746" t="s">
        <v>409</v>
      </c>
      <c r="C58" s="746"/>
      <c r="D58" s="746"/>
      <c r="E58" s="83"/>
      <c r="F58" s="83"/>
      <c r="H58" s="84"/>
      <c r="I58" s="85"/>
    </row>
    <row r="59" spans="1:9" x14ac:dyDescent="0.3">
      <c r="B59" s="97"/>
      <c r="C59" s="83"/>
      <c r="D59" s="83"/>
      <c r="E59" s="83"/>
      <c r="F59" s="83"/>
      <c r="H59" s="84"/>
      <c r="I59" s="85"/>
    </row>
    <row r="60" spans="1:9" s="91" customFormat="1" x14ac:dyDescent="0.3">
      <c r="A60" s="80">
        <v>6</v>
      </c>
      <c r="B60" s="755" t="s">
        <v>1575</v>
      </c>
      <c r="C60" s="755"/>
      <c r="D60" s="755"/>
      <c r="E60" s="83"/>
      <c r="F60" s="90"/>
      <c r="H60" s="92"/>
      <c r="I60" s="93"/>
    </row>
    <row r="61" spans="1:9" x14ac:dyDescent="0.3">
      <c r="B61" s="744" t="s">
        <v>410</v>
      </c>
      <c r="C61" s="744"/>
      <c r="D61" s="744"/>
      <c r="E61" s="83"/>
      <c r="F61" s="83"/>
      <c r="H61" s="84"/>
      <c r="I61" s="85"/>
    </row>
    <row r="62" spans="1:9" x14ac:dyDescent="0.3">
      <c r="A62" s="80">
        <v>7</v>
      </c>
      <c r="B62" s="755" t="s">
        <v>1576</v>
      </c>
      <c r="C62" s="755"/>
      <c r="D62" s="755"/>
      <c r="E62" s="83"/>
      <c r="F62" s="90"/>
      <c r="H62" s="84"/>
      <c r="I62" s="85"/>
    </row>
    <row r="63" spans="1:9" x14ac:dyDescent="0.25">
      <c r="B63" s="747" t="s">
        <v>411</v>
      </c>
      <c r="C63" s="747"/>
      <c r="D63" s="747"/>
      <c r="E63" s="83"/>
      <c r="F63" s="83"/>
      <c r="H63" s="84"/>
      <c r="I63" s="85"/>
    </row>
    <row r="64" spans="1:9" x14ac:dyDescent="0.3">
      <c r="A64" s="98">
        <v>8</v>
      </c>
      <c r="B64" s="749" t="s">
        <v>412</v>
      </c>
      <c r="C64" s="749"/>
      <c r="D64" s="749"/>
      <c r="E64" s="99"/>
      <c r="F64" s="100" t="s">
        <v>406</v>
      </c>
      <c r="H64" s="84"/>
      <c r="I64" s="85"/>
    </row>
    <row r="65" spans="1:9" x14ac:dyDescent="0.3">
      <c r="A65" s="686"/>
      <c r="B65" s="687"/>
      <c r="C65" s="687"/>
      <c r="D65" s="687"/>
      <c r="E65" s="688"/>
      <c r="F65" s="689"/>
      <c r="H65" s="84"/>
      <c r="I65" s="85"/>
    </row>
    <row r="66" spans="1:9" s="91" customFormat="1" ht="13.5" customHeight="1" x14ac:dyDescent="0.3">
      <c r="A66" s="80"/>
      <c r="B66" s="89" t="s">
        <v>413</v>
      </c>
      <c r="C66" s="83"/>
      <c r="D66" s="83"/>
      <c r="E66" s="83"/>
      <c r="F66" s="83"/>
      <c r="H66" s="92"/>
      <c r="I66" s="93"/>
    </row>
    <row r="67" spans="1:9" s="91" customFormat="1" x14ac:dyDescent="0.25">
      <c r="A67" s="80"/>
      <c r="B67" s="752" t="s">
        <v>1577</v>
      </c>
      <c r="C67" s="752"/>
      <c r="D67" s="752"/>
      <c r="E67" s="752"/>
      <c r="F67" s="752"/>
      <c r="H67" s="92"/>
      <c r="I67" s="93"/>
    </row>
    <row r="68" spans="1:9" s="91" customFormat="1" x14ac:dyDescent="0.25">
      <c r="A68" s="80"/>
      <c r="B68" s="750" t="s">
        <v>414</v>
      </c>
      <c r="C68" s="750"/>
      <c r="D68" s="750"/>
      <c r="E68" s="750"/>
      <c r="F68" s="750"/>
      <c r="H68" s="92"/>
      <c r="I68" s="93"/>
    </row>
    <row r="69" spans="1:9" s="91" customFormat="1" ht="27.6" customHeight="1" x14ac:dyDescent="0.25">
      <c r="A69" s="80"/>
      <c r="B69" s="756" t="s">
        <v>1790</v>
      </c>
      <c r="C69" s="756"/>
      <c r="D69" s="756"/>
      <c r="E69" s="756"/>
      <c r="F69" s="756"/>
      <c r="H69" s="92"/>
      <c r="I69" s="93"/>
    </row>
    <row r="70" spans="1:9" s="91" customFormat="1" ht="42" customHeight="1" x14ac:dyDescent="0.25">
      <c r="A70" s="80"/>
      <c r="B70" s="747" t="s">
        <v>415</v>
      </c>
      <c r="C70" s="747"/>
      <c r="D70" s="747"/>
      <c r="E70" s="83"/>
      <c r="F70" s="83" t="s">
        <v>416</v>
      </c>
      <c r="H70" s="92"/>
      <c r="I70" s="93"/>
    </row>
    <row r="71" spans="1:9" s="91" customFormat="1" x14ac:dyDescent="0.25">
      <c r="A71" s="80"/>
      <c r="B71" s="753" t="s">
        <v>417</v>
      </c>
      <c r="C71" s="753"/>
      <c r="D71" s="753"/>
      <c r="E71" s="753"/>
      <c r="F71" s="753"/>
      <c r="H71" s="92"/>
      <c r="I71" s="93"/>
    </row>
    <row r="72" spans="1:9" s="91" customFormat="1" x14ac:dyDescent="0.25">
      <c r="A72" s="80"/>
      <c r="B72" s="752" t="s">
        <v>418</v>
      </c>
      <c r="C72" s="752"/>
      <c r="D72" s="752"/>
      <c r="E72" s="752"/>
      <c r="F72" s="752"/>
      <c r="H72" s="92"/>
      <c r="I72" s="93"/>
    </row>
    <row r="73" spans="1:9" s="91" customFormat="1" x14ac:dyDescent="0.25">
      <c r="A73" s="80"/>
      <c r="B73" s="747" t="s">
        <v>419</v>
      </c>
      <c r="C73" s="747"/>
      <c r="D73" s="747"/>
      <c r="E73" s="83"/>
      <c r="F73" s="83"/>
      <c r="H73" s="92"/>
      <c r="I73" s="93"/>
    </row>
    <row r="74" spans="1:9" s="91" customFormat="1" ht="13.5" customHeight="1" x14ac:dyDescent="0.25">
      <c r="A74" s="80"/>
      <c r="B74" s="747" t="s">
        <v>420</v>
      </c>
      <c r="C74" s="747"/>
      <c r="D74" s="747"/>
      <c r="E74" s="83"/>
      <c r="F74" s="83"/>
      <c r="H74" s="92"/>
      <c r="I74" s="93"/>
    </row>
    <row r="75" spans="1:9" x14ac:dyDescent="0.25">
      <c r="B75" s="747" t="s">
        <v>421</v>
      </c>
      <c r="C75" s="747"/>
      <c r="D75" s="747"/>
      <c r="E75" s="83"/>
      <c r="F75" s="83"/>
      <c r="H75" s="84"/>
      <c r="I75" s="85"/>
    </row>
    <row r="76" spans="1:9" x14ac:dyDescent="0.25">
      <c r="B76" s="752" t="s">
        <v>422</v>
      </c>
      <c r="C76" s="752"/>
      <c r="D76" s="752"/>
      <c r="E76" s="752"/>
      <c r="F76" s="752"/>
      <c r="H76" s="84"/>
      <c r="I76" s="85"/>
    </row>
    <row r="77" spans="1:9" x14ac:dyDescent="0.25">
      <c r="B77" s="752" t="s">
        <v>423</v>
      </c>
      <c r="C77" s="752"/>
      <c r="D77" s="752"/>
      <c r="E77" s="752"/>
      <c r="F77" s="752"/>
      <c r="H77" s="84"/>
      <c r="I77" s="85"/>
    </row>
    <row r="78" spans="1:9" s="91" customFormat="1" x14ac:dyDescent="0.25">
      <c r="A78" s="80"/>
      <c r="B78" s="747" t="s">
        <v>424</v>
      </c>
      <c r="C78" s="747"/>
      <c r="D78" s="747"/>
      <c r="E78" s="83"/>
      <c r="F78" s="83"/>
      <c r="H78" s="92"/>
      <c r="I78" s="93"/>
    </row>
    <row r="79" spans="1:9" x14ac:dyDescent="0.25">
      <c r="E79" s="83"/>
      <c r="F79" s="83"/>
      <c r="H79" s="84"/>
      <c r="I79" s="85"/>
    </row>
    <row r="80" spans="1:9" x14ac:dyDescent="0.25">
      <c r="B80" s="101"/>
      <c r="C80" s="102"/>
      <c r="D80" s="103"/>
      <c r="E80" s="87"/>
      <c r="F80" s="87"/>
      <c r="H80" s="84"/>
      <c r="I80" s="85"/>
    </row>
    <row r="81" spans="1:13" ht="13.2" x14ac:dyDescent="0.25">
      <c r="A81" s="690"/>
      <c r="B81" s="692" t="s">
        <v>1578</v>
      </c>
      <c r="C81" s="16"/>
      <c r="D81" s="16"/>
      <c r="E81" s="16"/>
      <c r="F81" s="29"/>
    </row>
    <row r="82" spans="1:13" ht="13.2" x14ac:dyDescent="0.25">
      <c r="A82" s="691"/>
      <c r="B82" s="732" t="s">
        <v>1579</v>
      </c>
      <c r="C82" s="732"/>
      <c r="D82" s="732"/>
      <c r="E82" s="732"/>
      <c r="F82" s="732"/>
    </row>
    <row r="83" spans="1:13" ht="13.2" x14ac:dyDescent="0.25">
      <c r="A83" s="19"/>
      <c r="B83" s="732"/>
      <c r="C83" s="732"/>
      <c r="D83" s="732"/>
      <c r="E83" s="732"/>
      <c r="F83" s="732"/>
    </row>
    <row r="85" spans="1:13" customFormat="1" ht="26.4" customHeight="1" x14ac:dyDescent="0.25">
      <c r="A85" s="19"/>
      <c r="B85" s="731" t="s">
        <v>1776</v>
      </c>
      <c r="C85" s="731"/>
      <c r="D85" s="731"/>
      <c r="E85" s="731"/>
      <c r="F85" s="731"/>
      <c r="G85" s="731"/>
      <c r="H85" s="731"/>
      <c r="I85" s="731"/>
      <c r="J85" s="731"/>
      <c r="K85" s="731"/>
      <c r="L85" s="731"/>
      <c r="M85" s="731"/>
    </row>
  </sheetData>
  <mergeCells count="65">
    <mergeCell ref="B85:M85"/>
    <mergeCell ref="B82:F83"/>
    <mergeCell ref="G11:G19"/>
    <mergeCell ref="B78:D78"/>
    <mergeCell ref="B73:D73"/>
    <mergeCell ref="B74:D74"/>
    <mergeCell ref="B75:D75"/>
    <mergeCell ref="B56:D56"/>
    <mergeCell ref="B57:D57"/>
    <mergeCell ref="B58:D58"/>
    <mergeCell ref="B60:D60"/>
    <mergeCell ref="B61:D61"/>
    <mergeCell ref="B62:D62"/>
    <mergeCell ref="B63:D63"/>
    <mergeCell ref="B69:F69"/>
    <mergeCell ref="B67:F67"/>
    <mergeCell ref="B72:F72"/>
    <mergeCell ref="B76:F76"/>
    <mergeCell ref="B77:F77"/>
    <mergeCell ref="B71:F71"/>
    <mergeCell ref="B55:D55"/>
    <mergeCell ref="B54:D54"/>
    <mergeCell ref="B64:D64"/>
    <mergeCell ref="B70:D70"/>
    <mergeCell ref="B68:F68"/>
    <mergeCell ref="E42:F42"/>
    <mergeCell ref="D48:F48"/>
    <mergeCell ref="D49:F49"/>
    <mergeCell ref="D50:F50"/>
    <mergeCell ref="D51:F51"/>
    <mergeCell ref="B53:C53"/>
    <mergeCell ref="E43:F43"/>
    <mergeCell ref="E44:F44"/>
    <mergeCell ref="E45:F45"/>
    <mergeCell ref="E46:F46"/>
    <mergeCell ref="E47:F47"/>
    <mergeCell ref="E39:F39"/>
    <mergeCell ref="E40:F40"/>
    <mergeCell ref="E26:F26"/>
    <mergeCell ref="E27:F27"/>
    <mergeCell ref="E28:F28"/>
    <mergeCell ref="E29:F29"/>
    <mergeCell ref="E33:F33"/>
    <mergeCell ref="E41:F41"/>
    <mergeCell ref="E25:F25"/>
    <mergeCell ref="D11:F11"/>
    <mergeCell ref="D12:F12"/>
    <mergeCell ref="D13:F13"/>
    <mergeCell ref="D14:F14"/>
    <mergeCell ref="D15:F15"/>
    <mergeCell ref="D16:F16"/>
    <mergeCell ref="D18:F18"/>
    <mergeCell ref="D20:F20"/>
    <mergeCell ref="D21:F21"/>
    <mergeCell ref="D22:F22"/>
    <mergeCell ref="D23:F23"/>
    <mergeCell ref="E34:F34"/>
    <mergeCell ref="E37:F37"/>
    <mergeCell ref="E38:F38"/>
    <mergeCell ref="A1:F1"/>
    <mergeCell ref="D10:F10"/>
    <mergeCell ref="D4:F4"/>
    <mergeCell ref="D6:F6"/>
    <mergeCell ref="D7:F7"/>
    <mergeCell ref="D8:F8"/>
  </mergeCells>
  <pageMargins left="0.74803149606299213" right="0.39370078740157483" top="0.39370078740157483" bottom="0.59055118110236227" header="0.51181102362204722" footer="0.51181102362204722"/>
  <pageSetup paperSize="9" scale="85" firstPageNumber="83" orientation="portrait" r:id="rId1"/>
  <headerFooter alignWithMargins="0">
    <oddFooter>&amp;C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43"/>
  <sheetViews>
    <sheetView topLeftCell="A310" workbookViewId="0">
      <selection activeCell="B313" sqref="B313"/>
    </sheetView>
  </sheetViews>
  <sheetFormatPr defaultColWidth="9.109375" defaultRowHeight="13.2" x14ac:dyDescent="0.25"/>
  <cols>
    <col min="1" max="1" width="10.88671875" style="120" customWidth="1"/>
    <col min="2" max="2" width="39.88671875" style="120" customWidth="1"/>
    <col min="3" max="3" width="8.33203125" style="120" customWidth="1"/>
    <col min="4" max="4" width="6.5546875" style="120" bestFit="1" customWidth="1"/>
    <col min="5" max="5" width="14.5546875" style="8" bestFit="1" customWidth="1"/>
    <col min="6" max="6" width="19.33203125" style="120" bestFit="1" customWidth="1"/>
    <col min="7" max="7" width="19.109375" style="120" customWidth="1"/>
    <col min="8" max="155" width="9.109375" style="120"/>
    <col min="156" max="156" width="10.88671875" style="120" customWidth="1"/>
    <col min="157" max="157" width="39.88671875" style="120" customWidth="1"/>
    <col min="158" max="158" width="8.33203125" style="120" customWidth="1"/>
    <col min="159" max="159" width="8.6640625" style="120" customWidth="1"/>
    <col min="160" max="160" width="21.109375" style="120" customWidth="1"/>
    <col min="161" max="161" width="20.33203125" style="120" customWidth="1"/>
    <col min="162" max="167" width="9.109375" style="120"/>
    <col min="168" max="168" width="9.109375" style="120" customWidth="1"/>
    <col min="169" max="411" width="9.109375" style="120"/>
    <col min="412" max="412" width="10.88671875" style="120" customWidth="1"/>
    <col min="413" max="413" width="39.88671875" style="120" customWidth="1"/>
    <col min="414" max="414" width="8.33203125" style="120" customWidth="1"/>
    <col min="415" max="415" width="8.6640625" style="120" customWidth="1"/>
    <col min="416" max="416" width="21.109375" style="120" customWidth="1"/>
    <col min="417" max="417" width="20.33203125" style="120" customWidth="1"/>
    <col min="418" max="423" width="9.109375" style="120"/>
    <col min="424" max="424" width="9.109375" style="120" customWidth="1"/>
    <col min="425" max="667" width="9.109375" style="120"/>
    <col min="668" max="668" width="10.88671875" style="120" customWidth="1"/>
    <col min="669" max="669" width="39.88671875" style="120" customWidth="1"/>
    <col min="670" max="670" width="8.33203125" style="120" customWidth="1"/>
    <col min="671" max="671" width="8.6640625" style="120" customWidth="1"/>
    <col min="672" max="672" width="21.109375" style="120" customWidth="1"/>
    <col min="673" max="673" width="20.33203125" style="120" customWidth="1"/>
    <col min="674" max="679" width="9.109375" style="120"/>
    <col min="680" max="680" width="9.109375" style="120" customWidth="1"/>
    <col min="681" max="923" width="9.109375" style="120"/>
    <col min="924" max="924" width="10.88671875" style="120" customWidth="1"/>
    <col min="925" max="925" width="39.88671875" style="120" customWidth="1"/>
    <col min="926" max="926" width="8.33203125" style="120" customWidth="1"/>
    <col min="927" max="927" width="8.6640625" style="120" customWidth="1"/>
    <col min="928" max="928" width="21.109375" style="120" customWidth="1"/>
    <col min="929" max="929" width="20.33203125" style="120" customWidth="1"/>
    <col min="930" max="935" width="9.109375" style="120"/>
    <col min="936" max="936" width="9.109375" style="120" customWidth="1"/>
    <col min="937" max="1179" width="9.109375" style="120"/>
    <col min="1180" max="1180" width="10.88671875" style="120" customWidth="1"/>
    <col min="1181" max="1181" width="39.88671875" style="120" customWidth="1"/>
    <col min="1182" max="1182" width="8.33203125" style="120" customWidth="1"/>
    <col min="1183" max="1183" width="8.6640625" style="120" customWidth="1"/>
    <col min="1184" max="1184" width="21.109375" style="120" customWidth="1"/>
    <col min="1185" max="1185" width="20.33203125" style="120" customWidth="1"/>
    <col min="1186" max="1191" width="9.109375" style="120"/>
    <col min="1192" max="1192" width="9.109375" style="120" customWidth="1"/>
    <col min="1193" max="1435" width="9.109375" style="120"/>
    <col min="1436" max="1436" width="10.88671875" style="120" customWidth="1"/>
    <col min="1437" max="1437" width="39.88671875" style="120" customWidth="1"/>
    <col min="1438" max="1438" width="8.33203125" style="120" customWidth="1"/>
    <col min="1439" max="1439" width="8.6640625" style="120" customWidth="1"/>
    <col min="1440" max="1440" width="21.109375" style="120" customWidth="1"/>
    <col min="1441" max="1441" width="20.33203125" style="120" customWidth="1"/>
    <col min="1442" max="1447" width="9.109375" style="120"/>
    <col min="1448" max="1448" width="9.109375" style="120" customWidth="1"/>
    <col min="1449" max="1691" width="9.109375" style="120"/>
    <col min="1692" max="1692" width="10.88671875" style="120" customWidth="1"/>
    <col min="1693" max="1693" width="39.88671875" style="120" customWidth="1"/>
    <col min="1694" max="1694" width="8.33203125" style="120" customWidth="1"/>
    <col min="1695" max="1695" width="8.6640625" style="120" customWidth="1"/>
    <col min="1696" max="1696" width="21.109375" style="120" customWidth="1"/>
    <col min="1697" max="1697" width="20.33203125" style="120" customWidth="1"/>
    <col min="1698" max="1703" width="9.109375" style="120"/>
    <col min="1704" max="1704" width="9.109375" style="120" customWidth="1"/>
    <col min="1705" max="1947" width="9.109375" style="120"/>
    <col min="1948" max="1948" width="10.88671875" style="120" customWidth="1"/>
    <col min="1949" max="1949" width="39.88671875" style="120" customWidth="1"/>
    <col min="1950" max="1950" width="8.33203125" style="120" customWidth="1"/>
    <col min="1951" max="1951" width="8.6640625" style="120" customWidth="1"/>
    <col min="1952" max="1952" width="21.109375" style="120" customWidth="1"/>
    <col min="1953" max="1953" width="20.33203125" style="120" customWidth="1"/>
    <col min="1954" max="1959" width="9.109375" style="120"/>
    <col min="1960" max="1960" width="9.109375" style="120" customWidth="1"/>
    <col min="1961" max="2203" width="9.109375" style="120"/>
    <col min="2204" max="2204" width="10.88671875" style="120" customWidth="1"/>
    <col min="2205" max="2205" width="39.88671875" style="120" customWidth="1"/>
    <col min="2206" max="2206" width="8.33203125" style="120" customWidth="1"/>
    <col min="2207" max="2207" width="8.6640625" style="120" customWidth="1"/>
    <col min="2208" max="2208" width="21.109375" style="120" customWidth="1"/>
    <col min="2209" max="2209" width="20.33203125" style="120" customWidth="1"/>
    <col min="2210" max="2215" width="9.109375" style="120"/>
    <col min="2216" max="2216" width="9.109375" style="120" customWidth="1"/>
    <col min="2217" max="2459" width="9.109375" style="120"/>
    <col min="2460" max="2460" width="10.88671875" style="120" customWidth="1"/>
    <col min="2461" max="2461" width="39.88671875" style="120" customWidth="1"/>
    <col min="2462" max="2462" width="8.33203125" style="120" customWidth="1"/>
    <col min="2463" max="2463" width="8.6640625" style="120" customWidth="1"/>
    <col min="2464" max="2464" width="21.109375" style="120" customWidth="1"/>
    <col min="2465" max="2465" width="20.33203125" style="120" customWidth="1"/>
    <col min="2466" max="2471" width="9.109375" style="120"/>
    <col min="2472" max="2472" width="9.109375" style="120" customWidth="1"/>
    <col min="2473" max="2715" width="9.109375" style="120"/>
    <col min="2716" max="2716" width="10.88671875" style="120" customWidth="1"/>
    <col min="2717" max="2717" width="39.88671875" style="120" customWidth="1"/>
    <col min="2718" max="2718" width="8.33203125" style="120" customWidth="1"/>
    <col min="2719" max="2719" width="8.6640625" style="120" customWidth="1"/>
    <col min="2720" max="2720" width="21.109375" style="120" customWidth="1"/>
    <col min="2721" max="2721" width="20.33203125" style="120" customWidth="1"/>
    <col min="2722" max="2727" width="9.109375" style="120"/>
    <col min="2728" max="2728" width="9.109375" style="120" customWidth="1"/>
    <col min="2729" max="2971" width="9.109375" style="120"/>
    <col min="2972" max="2972" width="10.88671875" style="120" customWidth="1"/>
    <col min="2973" max="2973" width="39.88671875" style="120" customWidth="1"/>
    <col min="2974" max="2974" width="8.33203125" style="120" customWidth="1"/>
    <col min="2975" max="2975" width="8.6640625" style="120" customWidth="1"/>
    <col min="2976" max="2976" width="21.109375" style="120" customWidth="1"/>
    <col min="2977" max="2977" width="20.33203125" style="120" customWidth="1"/>
    <col min="2978" max="2983" width="9.109375" style="120"/>
    <col min="2984" max="2984" width="9.109375" style="120" customWidth="1"/>
    <col min="2985" max="3227" width="9.109375" style="120"/>
    <col min="3228" max="3228" width="10.88671875" style="120" customWidth="1"/>
    <col min="3229" max="3229" width="39.88671875" style="120" customWidth="1"/>
    <col min="3230" max="3230" width="8.33203125" style="120" customWidth="1"/>
    <col min="3231" max="3231" width="8.6640625" style="120" customWidth="1"/>
    <col min="3232" max="3232" width="21.109375" style="120" customWidth="1"/>
    <col min="3233" max="3233" width="20.33203125" style="120" customWidth="1"/>
    <col min="3234" max="3239" width="9.109375" style="120"/>
    <col min="3240" max="3240" width="9.109375" style="120" customWidth="1"/>
    <col min="3241" max="3483" width="9.109375" style="120"/>
    <col min="3484" max="3484" width="10.88671875" style="120" customWidth="1"/>
    <col min="3485" max="3485" width="39.88671875" style="120" customWidth="1"/>
    <col min="3486" max="3486" width="8.33203125" style="120" customWidth="1"/>
    <col min="3487" max="3487" width="8.6640625" style="120" customWidth="1"/>
    <col min="3488" max="3488" width="21.109375" style="120" customWidth="1"/>
    <col min="3489" max="3489" width="20.33203125" style="120" customWidth="1"/>
    <col min="3490" max="3495" width="9.109375" style="120"/>
    <col min="3496" max="3496" width="9.109375" style="120" customWidth="1"/>
    <col min="3497" max="3739" width="9.109375" style="120"/>
    <col min="3740" max="3740" width="10.88671875" style="120" customWidth="1"/>
    <col min="3741" max="3741" width="39.88671875" style="120" customWidth="1"/>
    <col min="3742" max="3742" width="8.33203125" style="120" customWidth="1"/>
    <col min="3743" max="3743" width="8.6640625" style="120" customWidth="1"/>
    <col min="3744" max="3744" width="21.109375" style="120" customWidth="1"/>
    <col min="3745" max="3745" width="20.33203125" style="120" customWidth="1"/>
    <col min="3746" max="3751" width="9.109375" style="120"/>
    <col min="3752" max="3752" width="9.109375" style="120" customWidth="1"/>
    <col min="3753" max="3995" width="9.109375" style="120"/>
    <col min="3996" max="3996" width="10.88671875" style="120" customWidth="1"/>
    <col min="3997" max="3997" width="39.88671875" style="120" customWidth="1"/>
    <col min="3998" max="3998" width="8.33203125" style="120" customWidth="1"/>
    <col min="3999" max="3999" width="8.6640625" style="120" customWidth="1"/>
    <col min="4000" max="4000" width="21.109375" style="120" customWidth="1"/>
    <col min="4001" max="4001" width="20.33203125" style="120" customWidth="1"/>
    <col min="4002" max="4007" width="9.109375" style="120"/>
    <col min="4008" max="4008" width="9.109375" style="120" customWidth="1"/>
    <col min="4009" max="4251" width="9.109375" style="120"/>
    <col min="4252" max="4252" width="10.88671875" style="120" customWidth="1"/>
    <col min="4253" max="4253" width="39.88671875" style="120" customWidth="1"/>
    <col min="4254" max="4254" width="8.33203125" style="120" customWidth="1"/>
    <col min="4255" max="4255" width="8.6640625" style="120" customWidth="1"/>
    <col min="4256" max="4256" width="21.109375" style="120" customWidth="1"/>
    <col min="4257" max="4257" width="20.33203125" style="120" customWidth="1"/>
    <col min="4258" max="4263" width="9.109375" style="120"/>
    <col min="4264" max="4264" width="9.109375" style="120" customWidth="1"/>
    <col min="4265" max="4507" width="9.109375" style="120"/>
    <col min="4508" max="4508" width="10.88671875" style="120" customWidth="1"/>
    <col min="4509" max="4509" width="39.88671875" style="120" customWidth="1"/>
    <col min="4510" max="4510" width="8.33203125" style="120" customWidth="1"/>
    <col min="4511" max="4511" width="8.6640625" style="120" customWidth="1"/>
    <col min="4512" max="4512" width="21.109375" style="120" customWidth="1"/>
    <col min="4513" max="4513" width="20.33203125" style="120" customWidth="1"/>
    <col min="4514" max="4519" width="9.109375" style="120"/>
    <col min="4520" max="4520" width="9.109375" style="120" customWidth="1"/>
    <col min="4521" max="4763" width="9.109375" style="120"/>
    <col min="4764" max="4764" width="10.88671875" style="120" customWidth="1"/>
    <col min="4765" max="4765" width="39.88671875" style="120" customWidth="1"/>
    <col min="4766" max="4766" width="8.33203125" style="120" customWidth="1"/>
    <col min="4767" max="4767" width="8.6640625" style="120" customWidth="1"/>
    <col min="4768" max="4768" width="21.109375" style="120" customWidth="1"/>
    <col min="4769" max="4769" width="20.33203125" style="120" customWidth="1"/>
    <col min="4770" max="4775" width="9.109375" style="120"/>
    <col min="4776" max="4776" width="9.109375" style="120" customWidth="1"/>
    <col min="4777" max="5019" width="9.109375" style="120"/>
    <col min="5020" max="5020" width="10.88671875" style="120" customWidth="1"/>
    <col min="5021" max="5021" width="39.88671875" style="120" customWidth="1"/>
    <col min="5022" max="5022" width="8.33203125" style="120" customWidth="1"/>
    <col min="5023" max="5023" width="8.6640625" style="120" customWidth="1"/>
    <col min="5024" max="5024" width="21.109375" style="120" customWidth="1"/>
    <col min="5025" max="5025" width="20.33203125" style="120" customWidth="1"/>
    <col min="5026" max="5031" width="9.109375" style="120"/>
    <col min="5032" max="5032" width="9.109375" style="120" customWidth="1"/>
    <col min="5033" max="5275" width="9.109375" style="120"/>
    <col min="5276" max="5276" width="10.88671875" style="120" customWidth="1"/>
    <col min="5277" max="5277" width="39.88671875" style="120" customWidth="1"/>
    <col min="5278" max="5278" width="8.33203125" style="120" customWidth="1"/>
    <col min="5279" max="5279" width="8.6640625" style="120" customWidth="1"/>
    <col min="5280" max="5280" width="21.109375" style="120" customWidth="1"/>
    <col min="5281" max="5281" width="20.33203125" style="120" customWidth="1"/>
    <col min="5282" max="5287" width="9.109375" style="120"/>
    <col min="5288" max="5288" width="9.109375" style="120" customWidth="1"/>
    <col min="5289" max="5531" width="9.109375" style="120"/>
    <col min="5532" max="5532" width="10.88671875" style="120" customWidth="1"/>
    <col min="5533" max="5533" width="39.88671875" style="120" customWidth="1"/>
    <col min="5534" max="5534" width="8.33203125" style="120" customWidth="1"/>
    <col min="5535" max="5535" width="8.6640625" style="120" customWidth="1"/>
    <col min="5536" max="5536" width="21.109375" style="120" customWidth="1"/>
    <col min="5537" max="5537" width="20.33203125" style="120" customWidth="1"/>
    <col min="5538" max="5543" width="9.109375" style="120"/>
    <col min="5544" max="5544" width="9.109375" style="120" customWidth="1"/>
    <col min="5545" max="5787" width="9.109375" style="120"/>
    <col min="5788" max="5788" width="10.88671875" style="120" customWidth="1"/>
    <col min="5789" max="5789" width="39.88671875" style="120" customWidth="1"/>
    <col min="5790" max="5790" width="8.33203125" style="120" customWidth="1"/>
    <col min="5791" max="5791" width="8.6640625" style="120" customWidth="1"/>
    <col min="5792" max="5792" width="21.109375" style="120" customWidth="1"/>
    <col min="5793" max="5793" width="20.33203125" style="120" customWidth="1"/>
    <col min="5794" max="5799" width="9.109375" style="120"/>
    <col min="5800" max="5800" width="9.109375" style="120" customWidth="1"/>
    <col min="5801" max="6043" width="9.109375" style="120"/>
    <col min="6044" max="6044" width="10.88671875" style="120" customWidth="1"/>
    <col min="6045" max="6045" width="39.88671875" style="120" customWidth="1"/>
    <col min="6046" max="6046" width="8.33203125" style="120" customWidth="1"/>
    <col min="6047" max="6047" width="8.6640625" style="120" customWidth="1"/>
    <col min="6048" max="6048" width="21.109375" style="120" customWidth="1"/>
    <col min="6049" max="6049" width="20.33203125" style="120" customWidth="1"/>
    <col min="6050" max="6055" width="9.109375" style="120"/>
    <col min="6056" max="6056" width="9.109375" style="120" customWidth="1"/>
    <col min="6057" max="6299" width="9.109375" style="120"/>
    <col min="6300" max="6300" width="10.88671875" style="120" customWidth="1"/>
    <col min="6301" max="6301" width="39.88671875" style="120" customWidth="1"/>
    <col min="6302" max="6302" width="8.33203125" style="120" customWidth="1"/>
    <col min="6303" max="6303" width="8.6640625" style="120" customWidth="1"/>
    <col min="6304" max="6304" width="21.109375" style="120" customWidth="1"/>
    <col min="6305" max="6305" width="20.33203125" style="120" customWidth="1"/>
    <col min="6306" max="6311" width="9.109375" style="120"/>
    <col min="6312" max="6312" width="9.109375" style="120" customWidth="1"/>
    <col min="6313" max="6555" width="9.109375" style="120"/>
    <col min="6556" max="6556" width="10.88671875" style="120" customWidth="1"/>
    <col min="6557" max="6557" width="39.88671875" style="120" customWidth="1"/>
    <col min="6558" max="6558" width="8.33203125" style="120" customWidth="1"/>
    <col min="6559" max="6559" width="8.6640625" style="120" customWidth="1"/>
    <col min="6560" max="6560" width="21.109375" style="120" customWidth="1"/>
    <col min="6561" max="6561" width="20.33203125" style="120" customWidth="1"/>
    <col min="6562" max="6567" width="9.109375" style="120"/>
    <col min="6568" max="6568" width="9.109375" style="120" customWidth="1"/>
    <col min="6569" max="6811" width="9.109375" style="120"/>
    <col min="6812" max="6812" width="10.88671875" style="120" customWidth="1"/>
    <col min="6813" max="6813" width="39.88671875" style="120" customWidth="1"/>
    <col min="6814" max="6814" width="8.33203125" style="120" customWidth="1"/>
    <col min="6815" max="6815" width="8.6640625" style="120" customWidth="1"/>
    <col min="6816" max="6816" width="21.109375" style="120" customWidth="1"/>
    <col min="6817" max="6817" width="20.33203125" style="120" customWidth="1"/>
    <col min="6818" max="6823" width="9.109375" style="120"/>
    <col min="6824" max="6824" width="9.109375" style="120" customWidth="1"/>
    <col min="6825" max="7067" width="9.109375" style="120"/>
    <col min="7068" max="7068" width="10.88671875" style="120" customWidth="1"/>
    <col min="7069" max="7069" width="39.88671875" style="120" customWidth="1"/>
    <col min="7070" max="7070" width="8.33203125" style="120" customWidth="1"/>
    <col min="7071" max="7071" width="8.6640625" style="120" customWidth="1"/>
    <col min="7072" max="7072" width="21.109375" style="120" customWidth="1"/>
    <col min="7073" max="7073" width="20.33203125" style="120" customWidth="1"/>
    <col min="7074" max="7079" width="9.109375" style="120"/>
    <col min="7080" max="7080" width="9.109375" style="120" customWidth="1"/>
    <col min="7081" max="7323" width="9.109375" style="120"/>
    <col min="7324" max="7324" width="10.88671875" style="120" customWidth="1"/>
    <col min="7325" max="7325" width="39.88671875" style="120" customWidth="1"/>
    <col min="7326" max="7326" width="8.33203125" style="120" customWidth="1"/>
    <col min="7327" max="7327" width="8.6640625" style="120" customWidth="1"/>
    <col min="7328" max="7328" width="21.109375" style="120" customWidth="1"/>
    <col min="7329" max="7329" width="20.33203125" style="120" customWidth="1"/>
    <col min="7330" max="7335" width="9.109375" style="120"/>
    <col min="7336" max="7336" width="9.109375" style="120" customWidth="1"/>
    <col min="7337" max="7579" width="9.109375" style="120"/>
    <col min="7580" max="7580" width="10.88671875" style="120" customWidth="1"/>
    <col min="7581" max="7581" width="39.88671875" style="120" customWidth="1"/>
    <col min="7582" max="7582" width="8.33203125" style="120" customWidth="1"/>
    <col min="7583" max="7583" width="8.6640625" style="120" customWidth="1"/>
    <col min="7584" max="7584" width="21.109375" style="120" customWidth="1"/>
    <col min="7585" max="7585" width="20.33203125" style="120" customWidth="1"/>
    <col min="7586" max="7591" width="9.109375" style="120"/>
    <col min="7592" max="7592" width="9.109375" style="120" customWidth="1"/>
    <col min="7593" max="7835" width="9.109375" style="120"/>
    <col min="7836" max="7836" width="10.88671875" style="120" customWidth="1"/>
    <col min="7837" max="7837" width="39.88671875" style="120" customWidth="1"/>
    <col min="7838" max="7838" width="8.33203125" style="120" customWidth="1"/>
    <col min="7839" max="7839" width="8.6640625" style="120" customWidth="1"/>
    <col min="7840" max="7840" width="21.109375" style="120" customWidth="1"/>
    <col min="7841" max="7841" width="20.33203125" style="120" customWidth="1"/>
    <col min="7842" max="7847" width="9.109375" style="120"/>
    <col min="7848" max="7848" width="9.109375" style="120" customWidth="1"/>
    <col min="7849" max="8091" width="9.109375" style="120"/>
    <col min="8092" max="8092" width="10.88671875" style="120" customWidth="1"/>
    <col min="8093" max="8093" width="39.88671875" style="120" customWidth="1"/>
    <col min="8094" max="8094" width="8.33203125" style="120" customWidth="1"/>
    <col min="8095" max="8095" width="8.6640625" style="120" customWidth="1"/>
    <col min="8096" max="8096" width="21.109375" style="120" customWidth="1"/>
    <col min="8097" max="8097" width="20.33203125" style="120" customWidth="1"/>
    <col min="8098" max="8103" width="9.109375" style="120"/>
    <col min="8104" max="8104" width="9.109375" style="120" customWidth="1"/>
    <col min="8105" max="8347" width="9.109375" style="120"/>
    <col min="8348" max="8348" width="10.88671875" style="120" customWidth="1"/>
    <col min="8349" max="8349" width="39.88671875" style="120" customWidth="1"/>
    <col min="8350" max="8350" width="8.33203125" style="120" customWidth="1"/>
    <col min="8351" max="8351" width="8.6640625" style="120" customWidth="1"/>
    <col min="8352" max="8352" width="21.109375" style="120" customWidth="1"/>
    <col min="8353" max="8353" width="20.33203125" style="120" customWidth="1"/>
    <col min="8354" max="8359" width="9.109375" style="120"/>
    <col min="8360" max="8360" width="9.109375" style="120" customWidth="1"/>
    <col min="8361" max="8603" width="9.109375" style="120"/>
    <col min="8604" max="8604" width="10.88671875" style="120" customWidth="1"/>
    <col min="8605" max="8605" width="39.88671875" style="120" customWidth="1"/>
    <col min="8606" max="8606" width="8.33203125" style="120" customWidth="1"/>
    <col min="8607" max="8607" width="8.6640625" style="120" customWidth="1"/>
    <col min="8608" max="8608" width="21.109375" style="120" customWidth="1"/>
    <col min="8609" max="8609" width="20.33203125" style="120" customWidth="1"/>
    <col min="8610" max="8615" width="9.109375" style="120"/>
    <col min="8616" max="8616" width="9.109375" style="120" customWidth="1"/>
    <col min="8617" max="8859" width="9.109375" style="120"/>
    <col min="8860" max="8860" width="10.88671875" style="120" customWidth="1"/>
    <col min="8861" max="8861" width="39.88671875" style="120" customWidth="1"/>
    <col min="8862" max="8862" width="8.33203125" style="120" customWidth="1"/>
    <col min="8863" max="8863" width="8.6640625" style="120" customWidth="1"/>
    <col min="8864" max="8864" width="21.109375" style="120" customWidth="1"/>
    <col min="8865" max="8865" width="20.33203125" style="120" customWidth="1"/>
    <col min="8866" max="8871" width="9.109375" style="120"/>
    <col min="8872" max="8872" width="9.109375" style="120" customWidth="1"/>
    <col min="8873" max="9115" width="9.109375" style="120"/>
    <col min="9116" max="9116" width="10.88671875" style="120" customWidth="1"/>
    <col min="9117" max="9117" width="39.88671875" style="120" customWidth="1"/>
    <col min="9118" max="9118" width="8.33203125" style="120" customWidth="1"/>
    <col min="9119" max="9119" width="8.6640625" style="120" customWidth="1"/>
    <col min="9120" max="9120" width="21.109375" style="120" customWidth="1"/>
    <col min="9121" max="9121" width="20.33203125" style="120" customWidth="1"/>
    <col min="9122" max="9127" width="9.109375" style="120"/>
    <col min="9128" max="9128" width="9.109375" style="120" customWidth="1"/>
    <col min="9129" max="9371" width="9.109375" style="120"/>
    <col min="9372" max="9372" width="10.88671875" style="120" customWidth="1"/>
    <col min="9373" max="9373" width="39.88671875" style="120" customWidth="1"/>
    <col min="9374" max="9374" width="8.33203125" style="120" customWidth="1"/>
    <col min="9375" max="9375" width="8.6640625" style="120" customWidth="1"/>
    <col min="9376" max="9376" width="21.109375" style="120" customWidth="1"/>
    <col min="9377" max="9377" width="20.33203125" style="120" customWidth="1"/>
    <col min="9378" max="9383" width="9.109375" style="120"/>
    <col min="9384" max="9384" width="9.109375" style="120" customWidth="1"/>
    <col min="9385" max="9627" width="9.109375" style="120"/>
    <col min="9628" max="9628" width="10.88671875" style="120" customWidth="1"/>
    <col min="9629" max="9629" width="39.88671875" style="120" customWidth="1"/>
    <col min="9630" max="9630" width="8.33203125" style="120" customWidth="1"/>
    <col min="9631" max="9631" width="8.6640625" style="120" customWidth="1"/>
    <col min="9632" max="9632" width="21.109375" style="120" customWidth="1"/>
    <col min="9633" max="9633" width="20.33203125" style="120" customWidth="1"/>
    <col min="9634" max="9639" width="9.109375" style="120"/>
    <col min="9640" max="9640" width="9.109375" style="120" customWidth="1"/>
    <col min="9641" max="9883" width="9.109375" style="120"/>
    <col min="9884" max="9884" width="10.88671875" style="120" customWidth="1"/>
    <col min="9885" max="9885" width="39.88671875" style="120" customWidth="1"/>
    <col min="9886" max="9886" width="8.33203125" style="120" customWidth="1"/>
    <col min="9887" max="9887" width="8.6640625" style="120" customWidth="1"/>
    <col min="9888" max="9888" width="21.109375" style="120" customWidth="1"/>
    <col min="9889" max="9889" width="20.33203125" style="120" customWidth="1"/>
    <col min="9890" max="9895" width="9.109375" style="120"/>
    <col min="9896" max="9896" width="9.109375" style="120" customWidth="1"/>
    <col min="9897" max="10139" width="9.109375" style="120"/>
    <col min="10140" max="10140" width="10.88671875" style="120" customWidth="1"/>
    <col min="10141" max="10141" width="39.88671875" style="120" customWidth="1"/>
    <col min="10142" max="10142" width="8.33203125" style="120" customWidth="1"/>
    <col min="10143" max="10143" width="8.6640625" style="120" customWidth="1"/>
    <col min="10144" max="10144" width="21.109375" style="120" customWidth="1"/>
    <col min="10145" max="10145" width="20.33203125" style="120" customWidth="1"/>
    <col min="10146" max="10151" width="9.109375" style="120"/>
    <col min="10152" max="10152" width="9.109375" style="120" customWidth="1"/>
    <col min="10153" max="10395" width="9.109375" style="120"/>
    <col min="10396" max="10396" width="10.88671875" style="120" customWidth="1"/>
    <col min="10397" max="10397" width="39.88671875" style="120" customWidth="1"/>
    <col min="10398" max="10398" width="8.33203125" style="120" customWidth="1"/>
    <col min="10399" max="10399" width="8.6640625" style="120" customWidth="1"/>
    <col min="10400" max="10400" width="21.109375" style="120" customWidth="1"/>
    <col min="10401" max="10401" width="20.33203125" style="120" customWidth="1"/>
    <col min="10402" max="10407" width="9.109375" style="120"/>
    <col min="10408" max="10408" width="9.109375" style="120" customWidth="1"/>
    <col min="10409" max="10651" width="9.109375" style="120"/>
    <col min="10652" max="10652" width="10.88671875" style="120" customWidth="1"/>
    <col min="10653" max="10653" width="39.88671875" style="120" customWidth="1"/>
    <col min="10654" max="10654" width="8.33203125" style="120" customWidth="1"/>
    <col min="10655" max="10655" width="8.6640625" style="120" customWidth="1"/>
    <col min="10656" max="10656" width="21.109375" style="120" customWidth="1"/>
    <col min="10657" max="10657" width="20.33203125" style="120" customWidth="1"/>
    <col min="10658" max="10663" width="9.109375" style="120"/>
    <col min="10664" max="10664" width="9.109375" style="120" customWidth="1"/>
    <col min="10665" max="10907" width="9.109375" style="120"/>
    <col min="10908" max="10908" width="10.88671875" style="120" customWidth="1"/>
    <col min="10909" max="10909" width="39.88671875" style="120" customWidth="1"/>
    <col min="10910" max="10910" width="8.33203125" style="120" customWidth="1"/>
    <col min="10911" max="10911" width="8.6640625" style="120" customWidth="1"/>
    <col min="10912" max="10912" width="21.109375" style="120" customWidth="1"/>
    <col min="10913" max="10913" width="20.33203125" style="120" customWidth="1"/>
    <col min="10914" max="10919" width="9.109375" style="120"/>
    <col min="10920" max="10920" width="9.109375" style="120" customWidth="1"/>
    <col min="10921" max="11163" width="9.109375" style="120"/>
    <col min="11164" max="11164" width="10.88671875" style="120" customWidth="1"/>
    <col min="11165" max="11165" width="39.88671875" style="120" customWidth="1"/>
    <col min="11166" max="11166" width="8.33203125" style="120" customWidth="1"/>
    <col min="11167" max="11167" width="8.6640625" style="120" customWidth="1"/>
    <col min="11168" max="11168" width="21.109375" style="120" customWidth="1"/>
    <col min="11169" max="11169" width="20.33203125" style="120" customWidth="1"/>
    <col min="11170" max="11175" width="9.109375" style="120"/>
    <col min="11176" max="11176" width="9.109375" style="120" customWidth="1"/>
    <col min="11177" max="11419" width="9.109375" style="120"/>
    <col min="11420" max="11420" width="10.88671875" style="120" customWidth="1"/>
    <col min="11421" max="11421" width="39.88671875" style="120" customWidth="1"/>
    <col min="11422" max="11422" width="8.33203125" style="120" customWidth="1"/>
    <col min="11423" max="11423" width="8.6640625" style="120" customWidth="1"/>
    <col min="11424" max="11424" width="21.109375" style="120" customWidth="1"/>
    <col min="11425" max="11425" width="20.33203125" style="120" customWidth="1"/>
    <col min="11426" max="11431" width="9.109375" style="120"/>
    <col min="11432" max="11432" width="9.109375" style="120" customWidth="1"/>
    <col min="11433" max="11675" width="9.109375" style="120"/>
    <col min="11676" max="11676" width="10.88671875" style="120" customWidth="1"/>
    <col min="11677" max="11677" width="39.88671875" style="120" customWidth="1"/>
    <col min="11678" max="11678" width="8.33203125" style="120" customWidth="1"/>
    <col min="11679" max="11679" width="8.6640625" style="120" customWidth="1"/>
    <col min="11680" max="11680" width="21.109375" style="120" customWidth="1"/>
    <col min="11681" max="11681" width="20.33203125" style="120" customWidth="1"/>
    <col min="11682" max="11687" width="9.109375" style="120"/>
    <col min="11688" max="11688" width="9.109375" style="120" customWidth="1"/>
    <col min="11689" max="11931" width="9.109375" style="120"/>
    <col min="11932" max="11932" width="10.88671875" style="120" customWidth="1"/>
    <col min="11933" max="11933" width="39.88671875" style="120" customWidth="1"/>
    <col min="11934" max="11934" width="8.33203125" style="120" customWidth="1"/>
    <col min="11935" max="11935" width="8.6640625" style="120" customWidth="1"/>
    <col min="11936" max="11936" width="21.109375" style="120" customWidth="1"/>
    <col min="11937" max="11937" width="20.33203125" style="120" customWidth="1"/>
    <col min="11938" max="11943" width="9.109375" style="120"/>
    <col min="11944" max="11944" width="9.109375" style="120" customWidth="1"/>
    <col min="11945" max="12187" width="9.109375" style="120"/>
    <col min="12188" max="12188" width="10.88671875" style="120" customWidth="1"/>
    <col min="12189" max="12189" width="39.88671875" style="120" customWidth="1"/>
    <col min="12190" max="12190" width="8.33203125" style="120" customWidth="1"/>
    <col min="12191" max="12191" width="8.6640625" style="120" customWidth="1"/>
    <col min="12192" max="12192" width="21.109375" style="120" customWidth="1"/>
    <col min="12193" max="12193" width="20.33203125" style="120" customWidth="1"/>
    <col min="12194" max="12199" width="9.109375" style="120"/>
    <col min="12200" max="12200" width="9.109375" style="120" customWidth="1"/>
    <col min="12201" max="12443" width="9.109375" style="120"/>
    <col min="12444" max="12444" width="10.88671875" style="120" customWidth="1"/>
    <col min="12445" max="12445" width="39.88671875" style="120" customWidth="1"/>
    <col min="12446" max="12446" width="8.33203125" style="120" customWidth="1"/>
    <col min="12447" max="12447" width="8.6640625" style="120" customWidth="1"/>
    <col min="12448" max="12448" width="21.109375" style="120" customWidth="1"/>
    <col min="12449" max="12449" width="20.33203125" style="120" customWidth="1"/>
    <col min="12450" max="12455" width="9.109375" style="120"/>
    <col min="12456" max="12456" width="9.109375" style="120" customWidth="1"/>
    <col min="12457" max="12699" width="9.109375" style="120"/>
    <col min="12700" max="12700" width="10.88671875" style="120" customWidth="1"/>
    <col min="12701" max="12701" width="39.88671875" style="120" customWidth="1"/>
    <col min="12702" max="12702" width="8.33203125" style="120" customWidth="1"/>
    <col min="12703" max="12703" width="8.6640625" style="120" customWidth="1"/>
    <col min="12704" max="12704" width="21.109375" style="120" customWidth="1"/>
    <col min="12705" max="12705" width="20.33203125" style="120" customWidth="1"/>
    <col min="12706" max="12711" width="9.109375" style="120"/>
    <col min="12712" max="12712" width="9.109375" style="120" customWidth="1"/>
    <col min="12713" max="12955" width="9.109375" style="120"/>
    <col min="12956" max="12956" width="10.88671875" style="120" customWidth="1"/>
    <col min="12957" max="12957" width="39.88671875" style="120" customWidth="1"/>
    <col min="12958" max="12958" width="8.33203125" style="120" customWidth="1"/>
    <col min="12959" max="12959" width="8.6640625" style="120" customWidth="1"/>
    <col min="12960" max="12960" width="21.109375" style="120" customWidth="1"/>
    <col min="12961" max="12961" width="20.33203125" style="120" customWidth="1"/>
    <col min="12962" max="12967" width="9.109375" style="120"/>
    <col min="12968" max="12968" width="9.109375" style="120" customWidth="1"/>
    <col min="12969" max="13211" width="9.109375" style="120"/>
    <col min="13212" max="13212" width="10.88671875" style="120" customWidth="1"/>
    <col min="13213" max="13213" width="39.88671875" style="120" customWidth="1"/>
    <col min="13214" max="13214" width="8.33203125" style="120" customWidth="1"/>
    <col min="13215" max="13215" width="8.6640625" style="120" customWidth="1"/>
    <col min="13216" max="13216" width="21.109375" style="120" customWidth="1"/>
    <col min="13217" max="13217" width="20.33203125" style="120" customWidth="1"/>
    <col min="13218" max="13223" width="9.109375" style="120"/>
    <col min="13224" max="13224" width="9.109375" style="120" customWidth="1"/>
    <col min="13225" max="13467" width="9.109375" style="120"/>
    <col min="13468" max="13468" width="10.88671875" style="120" customWidth="1"/>
    <col min="13469" max="13469" width="39.88671875" style="120" customWidth="1"/>
    <col min="13470" max="13470" width="8.33203125" style="120" customWidth="1"/>
    <col min="13471" max="13471" width="8.6640625" style="120" customWidth="1"/>
    <col min="13472" max="13472" width="21.109375" style="120" customWidth="1"/>
    <col min="13473" max="13473" width="20.33203125" style="120" customWidth="1"/>
    <col min="13474" max="13479" width="9.109375" style="120"/>
    <col min="13480" max="13480" width="9.109375" style="120" customWidth="1"/>
    <col min="13481" max="13723" width="9.109375" style="120"/>
    <col min="13724" max="13724" width="10.88671875" style="120" customWidth="1"/>
    <col min="13725" max="13725" width="39.88671875" style="120" customWidth="1"/>
    <col min="13726" max="13726" width="8.33203125" style="120" customWidth="1"/>
    <col min="13727" max="13727" width="8.6640625" style="120" customWidth="1"/>
    <col min="13728" max="13728" width="21.109375" style="120" customWidth="1"/>
    <col min="13729" max="13729" width="20.33203125" style="120" customWidth="1"/>
    <col min="13730" max="13735" width="9.109375" style="120"/>
    <col min="13736" max="13736" width="9.109375" style="120" customWidth="1"/>
    <col min="13737" max="13979" width="9.109375" style="120"/>
    <col min="13980" max="13980" width="10.88671875" style="120" customWidth="1"/>
    <col min="13981" max="13981" width="39.88671875" style="120" customWidth="1"/>
    <col min="13982" max="13982" width="8.33203125" style="120" customWidth="1"/>
    <col min="13983" max="13983" width="8.6640625" style="120" customWidth="1"/>
    <col min="13984" max="13984" width="21.109375" style="120" customWidth="1"/>
    <col min="13985" max="13985" width="20.33203125" style="120" customWidth="1"/>
    <col min="13986" max="13991" width="9.109375" style="120"/>
    <col min="13992" max="13992" width="9.109375" style="120" customWidth="1"/>
    <col min="13993" max="14235" width="9.109375" style="120"/>
    <col min="14236" max="14236" width="10.88671875" style="120" customWidth="1"/>
    <col min="14237" max="14237" width="39.88671875" style="120" customWidth="1"/>
    <col min="14238" max="14238" width="8.33203125" style="120" customWidth="1"/>
    <col min="14239" max="14239" width="8.6640625" style="120" customWidth="1"/>
    <col min="14240" max="14240" width="21.109375" style="120" customWidth="1"/>
    <col min="14241" max="14241" width="20.33203125" style="120" customWidth="1"/>
    <col min="14242" max="14247" width="9.109375" style="120"/>
    <col min="14248" max="14248" width="9.109375" style="120" customWidth="1"/>
    <col min="14249" max="14491" width="9.109375" style="120"/>
    <col min="14492" max="14492" width="10.88671875" style="120" customWidth="1"/>
    <col min="14493" max="14493" width="39.88671875" style="120" customWidth="1"/>
    <col min="14494" max="14494" width="8.33203125" style="120" customWidth="1"/>
    <col min="14495" max="14495" width="8.6640625" style="120" customWidth="1"/>
    <col min="14496" max="14496" width="21.109375" style="120" customWidth="1"/>
    <col min="14497" max="14497" width="20.33203125" style="120" customWidth="1"/>
    <col min="14498" max="14503" width="9.109375" style="120"/>
    <col min="14504" max="14504" width="9.109375" style="120" customWidth="1"/>
    <col min="14505" max="14747" width="9.109375" style="120"/>
    <col min="14748" max="14748" width="10.88671875" style="120" customWidth="1"/>
    <col min="14749" max="14749" width="39.88671875" style="120" customWidth="1"/>
    <col min="14750" max="14750" width="8.33203125" style="120" customWidth="1"/>
    <col min="14751" max="14751" width="8.6640625" style="120" customWidth="1"/>
    <col min="14752" max="14752" width="21.109375" style="120" customWidth="1"/>
    <col min="14753" max="14753" width="20.33203125" style="120" customWidth="1"/>
    <col min="14754" max="14759" width="9.109375" style="120"/>
    <col min="14760" max="14760" width="9.109375" style="120" customWidth="1"/>
    <col min="14761" max="15003" width="9.109375" style="120"/>
    <col min="15004" max="15004" width="10.88671875" style="120" customWidth="1"/>
    <col min="15005" max="15005" width="39.88671875" style="120" customWidth="1"/>
    <col min="15006" max="15006" width="8.33203125" style="120" customWidth="1"/>
    <col min="15007" max="15007" width="8.6640625" style="120" customWidth="1"/>
    <col min="15008" max="15008" width="21.109375" style="120" customWidth="1"/>
    <col min="15009" max="15009" width="20.33203125" style="120" customWidth="1"/>
    <col min="15010" max="15015" width="9.109375" style="120"/>
    <col min="15016" max="15016" width="9.109375" style="120" customWidth="1"/>
    <col min="15017" max="15259" width="9.109375" style="120"/>
    <col min="15260" max="15260" width="10.88671875" style="120" customWidth="1"/>
    <col min="15261" max="15261" width="39.88671875" style="120" customWidth="1"/>
    <col min="15262" max="15262" width="8.33203125" style="120" customWidth="1"/>
    <col min="15263" max="15263" width="8.6640625" style="120" customWidth="1"/>
    <col min="15264" max="15264" width="21.109375" style="120" customWidth="1"/>
    <col min="15265" max="15265" width="20.33203125" style="120" customWidth="1"/>
    <col min="15266" max="15271" width="9.109375" style="120"/>
    <col min="15272" max="15272" width="9.109375" style="120" customWidth="1"/>
    <col min="15273" max="15515" width="9.109375" style="120"/>
    <col min="15516" max="15516" width="10.88671875" style="120" customWidth="1"/>
    <col min="15517" max="15517" width="39.88671875" style="120" customWidth="1"/>
    <col min="15518" max="15518" width="8.33203125" style="120" customWidth="1"/>
    <col min="15519" max="15519" width="8.6640625" style="120" customWidth="1"/>
    <col min="15520" max="15520" width="21.109375" style="120" customWidth="1"/>
    <col min="15521" max="15521" width="20.33203125" style="120" customWidth="1"/>
    <col min="15522" max="15527" width="9.109375" style="120"/>
    <col min="15528" max="15528" width="9.109375" style="120" customWidth="1"/>
    <col min="15529" max="15771" width="9.109375" style="120"/>
    <col min="15772" max="15772" width="10.88671875" style="120" customWidth="1"/>
    <col min="15773" max="15773" width="39.88671875" style="120" customWidth="1"/>
    <col min="15774" max="15774" width="8.33203125" style="120" customWidth="1"/>
    <col min="15775" max="15775" width="8.6640625" style="120" customWidth="1"/>
    <col min="15776" max="15776" width="21.109375" style="120" customWidth="1"/>
    <col min="15777" max="15777" width="20.33203125" style="120" customWidth="1"/>
    <col min="15778" max="15783" width="9.109375" style="120"/>
    <col min="15784" max="15784" width="9.109375" style="120" customWidth="1"/>
    <col min="15785" max="16384" width="9.109375" style="120"/>
  </cols>
  <sheetData>
    <row r="1" spans="1:7" x14ac:dyDescent="0.25">
      <c r="A1" s="741" t="s">
        <v>1589</v>
      </c>
      <c r="B1" s="741"/>
      <c r="C1" s="741"/>
      <c r="D1" s="741"/>
      <c r="E1" s="741"/>
      <c r="F1" s="741"/>
    </row>
    <row r="2" spans="1:7" ht="13.8" thickBot="1" x14ac:dyDescent="0.3">
      <c r="A2" s="121"/>
      <c r="B2" s="122"/>
      <c r="C2" s="122"/>
      <c r="D2" s="122"/>
      <c r="E2" s="123"/>
      <c r="F2" s="124"/>
    </row>
    <row r="3" spans="1:7" ht="24" x14ac:dyDescent="0.25">
      <c r="A3" s="125" t="s">
        <v>468</v>
      </c>
      <c r="B3" s="126" t="s">
        <v>469</v>
      </c>
      <c r="C3" s="127" t="s">
        <v>470</v>
      </c>
      <c r="D3" s="128" t="s">
        <v>471</v>
      </c>
      <c r="E3" s="127" t="s">
        <v>472</v>
      </c>
      <c r="F3" s="129" t="s">
        <v>473</v>
      </c>
      <c r="G3" s="694" t="s">
        <v>1580</v>
      </c>
    </row>
    <row r="4" spans="1:7" ht="216" x14ac:dyDescent="0.25">
      <c r="A4" s="130"/>
      <c r="B4" s="131" t="s">
        <v>1791</v>
      </c>
      <c r="C4" s="132"/>
      <c r="D4" s="133"/>
      <c r="E4" s="132"/>
      <c r="F4" s="134"/>
    </row>
    <row r="5" spans="1:7" s="140" customFormat="1" ht="27.6" x14ac:dyDescent="0.25">
      <c r="A5" s="135" t="s">
        <v>609</v>
      </c>
      <c r="B5" s="136" t="s">
        <v>629</v>
      </c>
      <c r="C5" s="137"/>
      <c r="D5" s="138"/>
      <c r="E5" s="137"/>
      <c r="F5" s="139"/>
    </row>
    <row r="6" spans="1:7" s="16" customFormat="1" x14ac:dyDescent="0.25">
      <c r="A6" s="141" t="s">
        <v>11</v>
      </c>
      <c r="B6" s="142" t="s">
        <v>630</v>
      </c>
      <c r="C6" s="143"/>
      <c r="D6" s="144"/>
      <c r="E6" s="145"/>
      <c r="F6" s="158"/>
    </row>
    <row r="7" spans="1:7" s="16" customFormat="1" ht="79.8" x14ac:dyDescent="0.25">
      <c r="A7" s="149" t="s">
        <v>485</v>
      </c>
      <c r="B7" s="142" t="s">
        <v>631</v>
      </c>
      <c r="C7" s="143" t="s">
        <v>632</v>
      </c>
      <c r="D7" s="144">
        <v>110</v>
      </c>
      <c r="E7" s="145"/>
      <c r="F7" s="158">
        <f>D7*E7</f>
        <v>0</v>
      </c>
    </row>
    <row r="8" spans="1:7" s="16" customFormat="1" ht="91.2" x14ac:dyDescent="0.25">
      <c r="A8" s="149" t="s">
        <v>486</v>
      </c>
      <c r="B8" s="142" t="s">
        <v>633</v>
      </c>
      <c r="C8" s="143" t="s">
        <v>59</v>
      </c>
      <c r="D8" s="144">
        <v>7.2</v>
      </c>
      <c r="E8" s="145"/>
      <c r="F8" s="158">
        <f>D8*E8</f>
        <v>0</v>
      </c>
    </row>
    <row r="9" spans="1:7" s="16" customFormat="1" ht="125.4" x14ac:dyDescent="0.25">
      <c r="A9" s="149" t="s">
        <v>488</v>
      </c>
      <c r="B9" s="142" t="s">
        <v>634</v>
      </c>
      <c r="C9" s="143" t="s">
        <v>632</v>
      </c>
      <c r="D9" s="144">
        <v>100</v>
      </c>
      <c r="E9" s="145"/>
      <c r="F9" s="158">
        <f>D9*E9</f>
        <v>0</v>
      </c>
    </row>
    <row r="10" spans="1:7" s="16" customFormat="1" ht="125.4" x14ac:dyDescent="0.25">
      <c r="A10" s="149" t="s">
        <v>489</v>
      </c>
      <c r="B10" s="142" t="s">
        <v>635</v>
      </c>
      <c r="C10" s="143" t="s">
        <v>632</v>
      </c>
      <c r="D10" s="144">
        <v>14</v>
      </c>
      <c r="E10" s="145"/>
      <c r="F10" s="158">
        <f>D10*E10</f>
        <v>0</v>
      </c>
    </row>
    <row r="11" spans="1:7" s="16" customFormat="1" ht="57" x14ac:dyDescent="0.25">
      <c r="A11" s="149" t="s">
        <v>490</v>
      </c>
      <c r="B11" s="142" t="s">
        <v>636</v>
      </c>
      <c r="C11" s="143" t="s">
        <v>59</v>
      </c>
      <c r="D11" s="144">
        <v>10</v>
      </c>
      <c r="E11" s="145"/>
      <c r="F11" s="158">
        <f>D11*E11</f>
        <v>0</v>
      </c>
    </row>
    <row r="12" spans="1:7" s="16" customFormat="1" ht="22.8" x14ac:dyDescent="0.25">
      <c r="A12" s="149" t="s">
        <v>491</v>
      </c>
      <c r="B12" s="142" t="s">
        <v>637</v>
      </c>
      <c r="C12" s="143"/>
      <c r="D12" s="144"/>
      <c r="E12" s="145"/>
      <c r="F12" s="158"/>
    </row>
    <row r="13" spans="1:7" s="16" customFormat="1" ht="34.200000000000003" x14ac:dyDescent="0.25">
      <c r="A13" s="141"/>
      <c r="B13" s="142" t="s">
        <v>638</v>
      </c>
      <c r="C13" s="143"/>
      <c r="D13" s="144"/>
      <c r="E13" s="145"/>
      <c r="F13" s="158"/>
    </row>
    <row r="14" spans="1:7" s="16" customFormat="1" ht="22.8" x14ac:dyDescent="0.25">
      <c r="A14" s="141"/>
      <c r="B14" s="142" t="s">
        <v>639</v>
      </c>
      <c r="C14" s="143"/>
      <c r="D14" s="144"/>
      <c r="E14" s="145"/>
      <c r="F14" s="158"/>
    </row>
    <row r="15" spans="1:7" s="16" customFormat="1" ht="22.8" x14ac:dyDescent="0.25">
      <c r="A15" s="141"/>
      <c r="B15" s="142" t="s">
        <v>640</v>
      </c>
      <c r="C15" s="143"/>
      <c r="D15" s="144"/>
      <c r="E15" s="145"/>
      <c r="F15" s="158"/>
    </row>
    <row r="16" spans="1:7" s="16" customFormat="1" x14ac:dyDescent="0.25">
      <c r="A16" s="141"/>
      <c r="B16" s="142" t="s">
        <v>641</v>
      </c>
      <c r="C16" s="143"/>
      <c r="D16" s="144"/>
      <c r="E16" s="145"/>
      <c r="F16" s="158"/>
    </row>
    <row r="17" spans="1:7" s="16" customFormat="1" x14ac:dyDescent="0.25">
      <c r="A17" s="141"/>
      <c r="B17" s="151" t="s">
        <v>642</v>
      </c>
      <c r="C17" s="143" t="s">
        <v>86</v>
      </c>
      <c r="D17" s="144">
        <v>3</v>
      </c>
      <c r="E17" s="145"/>
      <c r="F17" s="158">
        <f>D17*E17</f>
        <v>0</v>
      </c>
    </row>
    <row r="18" spans="1:7" s="16" customFormat="1" ht="66" x14ac:dyDescent="0.25">
      <c r="A18" s="149" t="s">
        <v>492</v>
      </c>
      <c r="B18" s="142" t="s">
        <v>643</v>
      </c>
      <c r="C18" s="143" t="s">
        <v>86</v>
      </c>
      <c r="D18" s="144">
        <v>3</v>
      </c>
      <c r="E18" s="145"/>
      <c r="F18" s="158">
        <f>D18*E18</f>
        <v>0</v>
      </c>
    </row>
    <row r="19" spans="1:7" s="16" customFormat="1" ht="22.8" x14ac:dyDescent="0.25">
      <c r="A19" s="149" t="s">
        <v>493</v>
      </c>
      <c r="B19" s="142" t="s">
        <v>644</v>
      </c>
      <c r="C19" s="143"/>
      <c r="D19" s="144"/>
      <c r="E19" s="145"/>
      <c r="F19" s="158"/>
    </row>
    <row r="20" spans="1:7" s="16" customFormat="1" ht="34.200000000000003" x14ac:dyDescent="0.25">
      <c r="A20" s="141"/>
      <c r="B20" s="142" t="s">
        <v>645</v>
      </c>
      <c r="C20" s="143"/>
      <c r="D20" s="144"/>
      <c r="E20" s="145"/>
      <c r="F20" s="158"/>
    </row>
    <row r="21" spans="1:7" s="16" customFormat="1" ht="22.8" x14ac:dyDescent="0.25">
      <c r="A21" s="141"/>
      <c r="B21" s="142" t="s">
        <v>646</v>
      </c>
      <c r="C21" s="143"/>
      <c r="D21" s="144"/>
      <c r="E21" s="145"/>
      <c r="F21" s="158"/>
    </row>
    <row r="22" spans="1:7" s="16" customFormat="1" ht="40.200000000000003" x14ac:dyDescent="0.25">
      <c r="A22" s="141"/>
      <c r="B22" s="142" t="s">
        <v>647</v>
      </c>
      <c r="C22" s="143"/>
      <c r="D22" s="144"/>
      <c r="E22" s="145"/>
      <c r="F22" s="158"/>
    </row>
    <row r="23" spans="1:7" s="16" customFormat="1" ht="22.8" x14ac:dyDescent="0.25">
      <c r="A23" s="141"/>
      <c r="B23" s="142" t="s">
        <v>648</v>
      </c>
      <c r="C23" s="143"/>
      <c r="D23" s="144"/>
      <c r="E23" s="145"/>
      <c r="F23" s="158"/>
    </row>
    <row r="24" spans="1:7" s="16" customFormat="1" ht="34.200000000000003" x14ac:dyDescent="0.25">
      <c r="A24" s="141"/>
      <c r="B24" s="142" t="s">
        <v>649</v>
      </c>
      <c r="C24" s="143"/>
      <c r="D24" s="144"/>
      <c r="E24" s="145"/>
      <c r="F24" s="158"/>
    </row>
    <row r="25" spans="1:7" s="16" customFormat="1" ht="34.200000000000003" x14ac:dyDescent="0.25">
      <c r="A25" s="141"/>
      <c r="B25" s="142" t="s">
        <v>650</v>
      </c>
      <c r="C25" s="143"/>
      <c r="D25" s="144"/>
      <c r="E25" s="145"/>
      <c r="F25" s="158"/>
    </row>
    <row r="26" spans="1:7" s="16" customFormat="1" x14ac:dyDescent="0.25">
      <c r="A26" s="141"/>
      <c r="B26" s="142" t="s">
        <v>651</v>
      </c>
      <c r="C26" s="143" t="s">
        <v>86</v>
      </c>
      <c r="D26" s="144">
        <v>2</v>
      </c>
      <c r="E26" s="145"/>
      <c r="F26" s="158">
        <f>D26*E26</f>
        <v>0</v>
      </c>
    </row>
    <row r="27" spans="1:7" s="16" customFormat="1" ht="57" x14ac:dyDescent="0.25">
      <c r="A27" s="149" t="s">
        <v>494</v>
      </c>
      <c r="B27" s="142" t="s">
        <v>1792</v>
      </c>
      <c r="C27" s="143"/>
      <c r="D27" s="144"/>
      <c r="E27" s="145"/>
      <c r="F27" s="158"/>
      <c r="G27" s="699"/>
    </row>
    <row r="28" spans="1:7" s="16" customFormat="1" ht="22.8" x14ac:dyDescent="0.25">
      <c r="A28" s="141"/>
      <c r="B28" s="142" t="s">
        <v>652</v>
      </c>
      <c r="C28" s="143"/>
      <c r="D28" s="144"/>
      <c r="E28" s="145"/>
      <c r="F28" s="158"/>
    </row>
    <row r="29" spans="1:7" s="16" customFormat="1" ht="22.8" x14ac:dyDescent="0.25">
      <c r="A29" s="141"/>
      <c r="B29" s="142" t="s">
        <v>653</v>
      </c>
      <c r="C29" s="143"/>
      <c r="D29" s="144"/>
      <c r="E29" s="145"/>
      <c r="F29" s="158"/>
    </row>
    <row r="30" spans="1:7" s="16" customFormat="1" ht="45.6" x14ac:dyDescent="0.25">
      <c r="A30" s="141"/>
      <c r="B30" s="142" t="s">
        <v>654</v>
      </c>
      <c r="C30" s="143"/>
      <c r="D30" s="144"/>
      <c r="E30" s="145"/>
      <c r="F30" s="158"/>
    </row>
    <row r="31" spans="1:7" s="16" customFormat="1" ht="22.8" x14ac:dyDescent="0.25">
      <c r="A31" s="141"/>
      <c r="B31" s="142" t="s">
        <v>655</v>
      </c>
      <c r="C31" s="143"/>
      <c r="D31" s="144"/>
      <c r="E31" s="145"/>
      <c r="F31" s="158"/>
    </row>
    <row r="32" spans="1:7" s="16" customFormat="1" x14ac:dyDescent="0.25">
      <c r="A32" s="141"/>
      <c r="B32" s="142" t="s">
        <v>656</v>
      </c>
      <c r="C32" s="143" t="s">
        <v>86</v>
      </c>
      <c r="D32" s="144">
        <v>2</v>
      </c>
      <c r="E32" s="145"/>
      <c r="F32" s="158">
        <f>D32*E32</f>
        <v>0</v>
      </c>
    </row>
    <row r="33" spans="1:6" s="16" customFormat="1" ht="91.2" x14ac:dyDescent="0.25">
      <c r="A33" s="149" t="s">
        <v>495</v>
      </c>
      <c r="B33" s="142" t="s">
        <v>657</v>
      </c>
      <c r="C33" s="143" t="s">
        <v>86</v>
      </c>
      <c r="D33" s="144">
        <v>2</v>
      </c>
      <c r="E33" s="145"/>
      <c r="F33" s="158">
        <f>D33*E33</f>
        <v>0</v>
      </c>
    </row>
    <row r="34" spans="1:6" s="16" customFormat="1" ht="79.8" x14ac:dyDescent="0.25">
      <c r="A34" s="149" t="s">
        <v>496</v>
      </c>
      <c r="B34" s="142" t="s">
        <v>658</v>
      </c>
      <c r="C34" s="143"/>
      <c r="D34" s="144"/>
      <c r="E34" s="145"/>
      <c r="F34" s="158"/>
    </row>
    <row r="35" spans="1:6" s="16" customFormat="1" x14ac:dyDescent="0.25">
      <c r="A35" s="149" t="s">
        <v>659</v>
      </c>
      <c r="B35" s="142" t="s">
        <v>660</v>
      </c>
      <c r="C35" s="143" t="s">
        <v>632</v>
      </c>
      <c r="D35" s="144">
        <v>70</v>
      </c>
      <c r="E35" s="145"/>
      <c r="F35" s="158">
        <f t="shared" ref="F35:F42" si="0">D35*E35</f>
        <v>0</v>
      </c>
    </row>
    <row r="36" spans="1:6" s="16" customFormat="1" x14ac:dyDescent="0.25">
      <c r="A36" s="149" t="s">
        <v>661</v>
      </c>
      <c r="B36" s="142" t="s">
        <v>662</v>
      </c>
      <c r="C36" s="143" t="s">
        <v>632</v>
      </c>
      <c r="D36" s="144">
        <v>150</v>
      </c>
      <c r="E36" s="145"/>
      <c r="F36" s="158">
        <f t="shared" si="0"/>
        <v>0</v>
      </c>
    </row>
    <row r="37" spans="1:6" s="16" customFormat="1" x14ac:dyDescent="0.25">
      <c r="A37" s="149" t="s">
        <v>663</v>
      </c>
      <c r="B37" s="142" t="s">
        <v>664</v>
      </c>
      <c r="C37" s="143" t="s">
        <v>632</v>
      </c>
      <c r="D37" s="144">
        <v>200</v>
      </c>
      <c r="E37" s="145"/>
      <c r="F37" s="158">
        <f>D37*E37</f>
        <v>0</v>
      </c>
    </row>
    <row r="38" spans="1:6" s="16" customFormat="1" ht="34.200000000000003" x14ac:dyDescent="0.25">
      <c r="A38" s="149" t="s">
        <v>497</v>
      </c>
      <c r="B38" s="142" t="s">
        <v>665</v>
      </c>
      <c r="C38" s="143" t="s">
        <v>632</v>
      </c>
      <c r="D38" s="144">
        <v>130</v>
      </c>
      <c r="E38" s="145"/>
      <c r="F38" s="158">
        <f t="shared" si="0"/>
        <v>0</v>
      </c>
    </row>
    <row r="39" spans="1:6" s="16" customFormat="1" ht="34.200000000000003" x14ac:dyDescent="0.25">
      <c r="A39" s="149" t="s">
        <v>498</v>
      </c>
      <c r="B39" s="142" t="s">
        <v>666</v>
      </c>
      <c r="C39" s="143" t="s">
        <v>632</v>
      </c>
      <c r="D39" s="144">
        <v>40</v>
      </c>
      <c r="E39" s="145"/>
      <c r="F39" s="158">
        <f t="shared" si="0"/>
        <v>0</v>
      </c>
    </row>
    <row r="40" spans="1:6" s="16" customFormat="1" ht="45.6" x14ac:dyDescent="0.25">
      <c r="A40" s="149" t="s">
        <v>499</v>
      </c>
      <c r="B40" s="142" t="s">
        <v>667</v>
      </c>
      <c r="C40" s="143" t="s">
        <v>632</v>
      </c>
      <c r="D40" s="144">
        <v>130</v>
      </c>
      <c r="E40" s="145"/>
      <c r="F40" s="158">
        <f t="shared" si="0"/>
        <v>0</v>
      </c>
    </row>
    <row r="41" spans="1:6" s="222" customFormat="1" ht="45.6" x14ac:dyDescent="0.25">
      <c r="A41" s="149" t="s">
        <v>500</v>
      </c>
      <c r="B41" s="142" t="s">
        <v>668</v>
      </c>
      <c r="C41" s="143" t="s">
        <v>59</v>
      </c>
      <c r="D41" s="144">
        <v>30</v>
      </c>
      <c r="E41" s="145"/>
      <c r="F41" s="158">
        <f t="shared" si="0"/>
        <v>0</v>
      </c>
    </row>
    <row r="42" spans="1:6" s="222" customFormat="1" ht="57" x14ac:dyDescent="0.25">
      <c r="A42" s="149" t="s">
        <v>501</v>
      </c>
      <c r="B42" s="142" t="s">
        <v>669</v>
      </c>
      <c r="C42" s="143" t="s">
        <v>59</v>
      </c>
      <c r="D42" s="144">
        <v>10</v>
      </c>
      <c r="E42" s="145"/>
      <c r="F42" s="158">
        <f t="shared" si="0"/>
        <v>0</v>
      </c>
    </row>
    <row r="43" spans="1:6" s="222" customFormat="1" ht="57" x14ac:dyDescent="0.25">
      <c r="A43" s="149" t="s">
        <v>502</v>
      </c>
      <c r="B43" s="142" t="s">
        <v>670</v>
      </c>
      <c r="C43" s="143"/>
      <c r="D43" s="144"/>
      <c r="E43" s="145"/>
      <c r="F43" s="158"/>
    </row>
    <row r="44" spans="1:6" s="222" customFormat="1" ht="23.4" x14ac:dyDescent="0.25">
      <c r="A44" s="149" t="s">
        <v>671</v>
      </c>
      <c r="B44" s="142" t="s">
        <v>672</v>
      </c>
      <c r="C44" s="143" t="s">
        <v>632</v>
      </c>
      <c r="D44" s="144">
        <v>72</v>
      </c>
      <c r="E44" s="145"/>
      <c r="F44" s="158">
        <f t="shared" ref="F44:F49" si="1">D44*E44</f>
        <v>0</v>
      </c>
    </row>
    <row r="45" spans="1:6" s="222" customFormat="1" x14ac:dyDescent="0.25">
      <c r="A45" s="149" t="s">
        <v>673</v>
      </c>
      <c r="B45" s="142" t="s">
        <v>674</v>
      </c>
      <c r="C45" s="143" t="s">
        <v>632</v>
      </c>
      <c r="D45" s="144">
        <v>70</v>
      </c>
      <c r="E45" s="145"/>
      <c r="F45" s="158">
        <f t="shared" si="1"/>
        <v>0</v>
      </c>
    </row>
    <row r="46" spans="1:6" s="222" customFormat="1" ht="23.4" x14ac:dyDescent="0.25">
      <c r="A46" s="149" t="s">
        <v>675</v>
      </c>
      <c r="B46" s="159" t="s">
        <v>676</v>
      </c>
      <c r="C46" s="143" t="s">
        <v>632</v>
      </c>
      <c r="D46" s="144">
        <v>80</v>
      </c>
      <c r="E46" s="145"/>
      <c r="F46" s="158">
        <f t="shared" si="1"/>
        <v>0</v>
      </c>
    </row>
    <row r="47" spans="1:6" s="16" customFormat="1" ht="23.4" x14ac:dyDescent="0.25">
      <c r="A47" s="149" t="s">
        <v>677</v>
      </c>
      <c r="B47" s="159" t="s">
        <v>678</v>
      </c>
      <c r="C47" s="143" t="s">
        <v>632</v>
      </c>
      <c r="D47" s="144">
        <v>100</v>
      </c>
      <c r="E47" s="145"/>
      <c r="F47" s="158">
        <f t="shared" si="1"/>
        <v>0</v>
      </c>
    </row>
    <row r="48" spans="1:6" x14ac:dyDescent="0.25">
      <c r="A48" s="149" t="s">
        <v>679</v>
      </c>
      <c r="B48" s="142" t="s">
        <v>680</v>
      </c>
      <c r="C48" s="143" t="s">
        <v>632</v>
      </c>
      <c r="D48" s="144">
        <v>90</v>
      </c>
      <c r="E48" s="223"/>
      <c r="F48" s="146">
        <f t="shared" si="1"/>
        <v>0</v>
      </c>
    </row>
    <row r="49" spans="1:7" s="16" customFormat="1" ht="79.8" x14ac:dyDescent="0.25">
      <c r="A49" s="149" t="s">
        <v>503</v>
      </c>
      <c r="B49" s="142" t="s">
        <v>681</v>
      </c>
      <c r="C49" s="143" t="s">
        <v>10</v>
      </c>
      <c r="D49" s="144">
        <v>1</v>
      </c>
      <c r="E49" s="145"/>
      <c r="F49" s="158">
        <f t="shared" si="1"/>
        <v>0</v>
      </c>
    </row>
    <row r="50" spans="1:7" s="16" customFormat="1" x14ac:dyDescent="0.25">
      <c r="A50" s="149" t="s">
        <v>504</v>
      </c>
      <c r="B50" s="142" t="s">
        <v>682</v>
      </c>
      <c r="C50" s="143" t="s">
        <v>10</v>
      </c>
      <c r="D50" s="144">
        <v>1</v>
      </c>
      <c r="E50" s="145"/>
      <c r="F50" s="158">
        <f>D50*E50</f>
        <v>0</v>
      </c>
    </row>
    <row r="51" spans="1:7" s="16" customFormat="1" x14ac:dyDescent="0.25">
      <c r="A51" s="141"/>
      <c r="B51" s="151" t="s">
        <v>547</v>
      </c>
      <c r="C51" s="143"/>
      <c r="D51" s="144"/>
      <c r="E51" s="145"/>
      <c r="F51" s="158">
        <f>SUM(F7:F50)</f>
        <v>0</v>
      </c>
    </row>
    <row r="52" spans="1:7" s="140" customFormat="1" ht="13.8" x14ac:dyDescent="0.25">
      <c r="A52" s="135" t="s">
        <v>610</v>
      </c>
      <c r="B52" s="136" t="s">
        <v>683</v>
      </c>
      <c r="C52" s="137"/>
      <c r="D52" s="138"/>
      <c r="E52" s="137"/>
      <c r="F52" s="139"/>
    </row>
    <row r="53" spans="1:7" s="148" customFormat="1" ht="34.200000000000003" x14ac:dyDescent="0.2">
      <c r="A53" s="149" t="s">
        <v>16</v>
      </c>
      <c r="B53" s="142" t="s">
        <v>684</v>
      </c>
      <c r="C53" s="143" t="s">
        <v>86</v>
      </c>
      <c r="D53" s="144">
        <v>3</v>
      </c>
      <c r="E53" s="145"/>
      <c r="F53" s="158">
        <f>D53*E53</f>
        <v>0</v>
      </c>
    </row>
    <row r="54" spans="1:7" s="148" customFormat="1" ht="45.6" x14ac:dyDescent="0.2">
      <c r="A54" s="149" t="s">
        <v>17</v>
      </c>
      <c r="B54" s="142" t="s">
        <v>685</v>
      </c>
      <c r="C54" s="143" t="s">
        <v>86</v>
      </c>
      <c r="D54" s="144">
        <v>3</v>
      </c>
      <c r="E54" s="145"/>
      <c r="F54" s="158">
        <f>D54*E54</f>
        <v>0</v>
      </c>
    </row>
    <row r="55" spans="1:7" s="148" customFormat="1" ht="22.8" x14ac:dyDescent="0.2">
      <c r="A55" s="149" t="s">
        <v>18</v>
      </c>
      <c r="B55" s="142" t="s">
        <v>686</v>
      </c>
      <c r="C55" s="143" t="s">
        <v>86</v>
      </c>
      <c r="D55" s="144">
        <v>10</v>
      </c>
      <c r="E55" s="145"/>
      <c r="F55" s="158">
        <f>D55*E55</f>
        <v>0</v>
      </c>
    </row>
    <row r="56" spans="1:7" s="148" customFormat="1" ht="11.4" x14ac:dyDescent="0.2">
      <c r="A56" s="149" t="s">
        <v>20</v>
      </c>
      <c r="B56" s="142" t="s">
        <v>687</v>
      </c>
      <c r="C56" s="143" t="s">
        <v>10</v>
      </c>
      <c r="D56" s="144">
        <v>1</v>
      </c>
      <c r="E56" s="145"/>
      <c r="F56" s="158">
        <f>D56*E56</f>
        <v>0</v>
      </c>
    </row>
    <row r="57" spans="1:7" s="148" customFormat="1" ht="12" x14ac:dyDescent="0.2">
      <c r="A57" s="141"/>
      <c r="B57" s="151" t="s">
        <v>571</v>
      </c>
      <c r="C57" s="143"/>
      <c r="D57" s="144"/>
      <c r="E57" s="145"/>
      <c r="F57" s="158">
        <f>SUM(F53:F56)</f>
        <v>0</v>
      </c>
    </row>
    <row r="58" spans="1:7" s="140" customFormat="1" ht="27.6" x14ac:dyDescent="0.25">
      <c r="A58" s="135" t="s">
        <v>611</v>
      </c>
      <c r="B58" s="136" t="s">
        <v>688</v>
      </c>
      <c r="C58" s="137"/>
      <c r="D58" s="138"/>
      <c r="E58" s="137"/>
      <c r="F58" s="139"/>
    </row>
    <row r="59" spans="1:7" s="148" customFormat="1" ht="205.8" x14ac:dyDescent="0.2">
      <c r="A59" s="149" t="s">
        <v>23</v>
      </c>
      <c r="B59" s="142" t="s">
        <v>1597</v>
      </c>
      <c r="C59" s="143" t="s">
        <v>10</v>
      </c>
      <c r="D59" s="144">
        <v>1</v>
      </c>
      <c r="E59" s="145"/>
      <c r="F59" s="158">
        <f>D59*E59</f>
        <v>0</v>
      </c>
      <c r="G59" s="698"/>
    </row>
    <row r="60" spans="1:7" s="148" customFormat="1" ht="103.2" x14ac:dyDescent="0.2">
      <c r="A60" s="149" t="s">
        <v>576</v>
      </c>
      <c r="B60" s="142" t="s">
        <v>1598</v>
      </c>
      <c r="C60" s="143" t="s">
        <v>10</v>
      </c>
      <c r="D60" s="144">
        <v>1</v>
      </c>
      <c r="E60" s="145"/>
      <c r="F60" s="158">
        <f>D60*E60</f>
        <v>0</v>
      </c>
      <c r="G60" s="698"/>
    </row>
    <row r="61" spans="1:7" s="148" customFormat="1" ht="160.19999999999999" x14ac:dyDescent="0.2">
      <c r="A61" s="149" t="s">
        <v>577</v>
      </c>
      <c r="B61" s="142" t="s">
        <v>1793</v>
      </c>
      <c r="C61" s="143" t="s">
        <v>86</v>
      </c>
      <c r="D61" s="144">
        <v>1</v>
      </c>
      <c r="E61" s="145"/>
      <c r="F61" s="158">
        <f>E61*D61</f>
        <v>0</v>
      </c>
      <c r="G61" s="698"/>
    </row>
    <row r="62" spans="1:7" s="148" customFormat="1" ht="79.8" x14ac:dyDescent="0.2">
      <c r="A62" s="149" t="s">
        <v>578</v>
      </c>
      <c r="B62" s="142" t="s">
        <v>1794</v>
      </c>
      <c r="C62" s="143" t="s">
        <v>86</v>
      </c>
      <c r="D62" s="144">
        <v>1</v>
      </c>
      <c r="E62" s="145"/>
      <c r="F62" s="158">
        <f t="shared" ref="F62:F81" si="2">E62*D62</f>
        <v>0</v>
      </c>
      <c r="G62" s="698"/>
    </row>
    <row r="63" spans="1:7" s="148" customFormat="1" ht="69" x14ac:dyDescent="0.2">
      <c r="A63" s="149" t="s">
        <v>579</v>
      </c>
      <c r="B63" s="142" t="s">
        <v>1701</v>
      </c>
      <c r="C63" s="143" t="s">
        <v>86</v>
      </c>
      <c r="D63" s="144">
        <v>2</v>
      </c>
      <c r="E63" s="145"/>
      <c r="F63" s="158">
        <f t="shared" si="2"/>
        <v>0</v>
      </c>
      <c r="G63" s="698"/>
    </row>
    <row r="64" spans="1:7" s="148" customFormat="1" ht="80.400000000000006" x14ac:dyDescent="0.2">
      <c r="A64" s="149" t="s">
        <v>580</v>
      </c>
      <c r="B64" s="142" t="s">
        <v>1702</v>
      </c>
      <c r="C64" s="143" t="s">
        <v>86</v>
      </c>
      <c r="D64" s="144">
        <v>1</v>
      </c>
      <c r="E64" s="145"/>
      <c r="F64" s="158">
        <f t="shared" si="2"/>
        <v>0</v>
      </c>
      <c r="G64" s="698"/>
    </row>
    <row r="65" spans="1:7" s="148" customFormat="1" ht="69" x14ac:dyDescent="0.2">
      <c r="A65" s="149" t="s">
        <v>581</v>
      </c>
      <c r="B65" s="142" t="s">
        <v>1703</v>
      </c>
      <c r="C65" s="143" t="s">
        <v>86</v>
      </c>
      <c r="D65" s="144">
        <v>1</v>
      </c>
      <c r="E65" s="145"/>
      <c r="F65" s="158">
        <f t="shared" si="2"/>
        <v>0</v>
      </c>
      <c r="G65" s="698"/>
    </row>
    <row r="66" spans="1:7" s="148" customFormat="1" ht="80.400000000000006" x14ac:dyDescent="0.2">
      <c r="A66" s="149" t="s">
        <v>689</v>
      </c>
      <c r="B66" s="142" t="s">
        <v>1704</v>
      </c>
      <c r="C66" s="143" t="s">
        <v>86</v>
      </c>
      <c r="D66" s="144">
        <v>3</v>
      </c>
      <c r="E66" s="145"/>
      <c r="F66" s="158">
        <f t="shared" si="2"/>
        <v>0</v>
      </c>
      <c r="G66" s="698"/>
    </row>
    <row r="67" spans="1:7" s="148" customFormat="1" ht="69" x14ac:dyDescent="0.2">
      <c r="A67" s="149" t="s">
        <v>690</v>
      </c>
      <c r="B67" s="142" t="s">
        <v>1705</v>
      </c>
      <c r="C67" s="143" t="s">
        <v>86</v>
      </c>
      <c r="D67" s="144">
        <v>14</v>
      </c>
      <c r="E67" s="145"/>
      <c r="F67" s="158">
        <f t="shared" si="2"/>
        <v>0</v>
      </c>
      <c r="G67" s="698"/>
    </row>
    <row r="68" spans="1:7" s="148" customFormat="1" ht="69" x14ac:dyDescent="0.2">
      <c r="A68" s="149" t="s">
        <v>691</v>
      </c>
      <c r="B68" s="142" t="s">
        <v>1706</v>
      </c>
      <c r="C68" s="143" t="s">
        <v>86</v>
      </c>
      <c r="D68" s="144">
        <v>6</v>
      </c>
      <c r="E68" s="145"/>
      <c r="F68" s="158">
        <f t="shared" si="2"/>
        <v>0</v>
      </c>
      <c r="G68" s="698"/>
    </row>
    <row r="69" spans="1:7" s="148" customFormat="1" ht="69" x14ac:dyDescent="0.2">
      <c r="A69" s="149" t="s">
        <v>692</v>
      </c>
      <c r="B69" s="142" t="s">
        <v>1707</v>
      </c>
      <c r="C69" s="143" t="s">
        <v>86</v>
      </c>
      <c r="D69" s="144">
        <v>5</v>
      </c>
      <c r="E69" s="145"/>
      <c r="F69" s="158">
        <f t="shared" si="2"/>
        <v>0</v>
      </c>
      <c r="G69" s="698"/>
    </row>
    <row r="70" spans="1:7" s="148" customFormat="1" ht="57.6" x14ac:dyDescent="0.2">
      <c r="A70" s="149" t="s">
        <v>693</v>
      </c>
      <c r="B70" s="142" t="s">
        <v>1708</v>
      </c>
      <c r="C70" s="143" t="s">
        <v>86</v>
      </c>
      <c r="D70" s="144">
        <v>5</v>
      </c>
      <c r="E70" s="145"/>
      <c r="F70" s="158">
        <f t="shared" si="2"/>
        <v>0</v>
      </c>
      <c r="G70" s="698"/>
    </row>
    <row r="71" spans="1:7" s="148" customFormat="1" ht="57.6" x14ac:dyDescent="0.2">
      <c r="A71" s="149" t="s">
        <v>694</v>
      </c>
      <c r="B71" s="142" t="s">
        <v>1709</v>
      </c>
      <c r="C71" s="143" t="s">
        <v>86</v>
      </c>
      <c r="D71" s="144">
        <v>6</v>
      </c>
      <c r="E71" s="145"/>
      <c r="F71" s="158">
        <f t="shared" si="2"/>
        <v>0</v>
      </c>
      <c r="G71" s="698"/>
    </row>
    <row r="72" spans="1:7" s="148" customFormat="1" ht="57.6" x14ac:dyDescent="0.2">
      <c r="A72" s="149" t="s">
        <v>695</v>
      </c>
      <c r="B72" s="142" t="s">
        <v>1710</v>
      </c>
      <c r="C72" s="143" t="s">
        <v>86</v>
      </c>
      <c r="D72" s="144">
        <v>6</v>
      </c>
      <c r="E72" s="145"/>
      <c r="F72" s="158">
        <f t="shared" si="2"/>
        <v>0</v>
      </c>
      <c r="G72" s="698"/>
    </row>
    <row r="73" spans="1:7" s="148" customFormat="1" ht="57.6" x14ac:dyDescent="0.2">
      <c r="A73" s="149" t="s">
        <v>696</v>
      </c>
      <c r="B73" s="142" t="s">
        <v>1711</v>
      </c>
      <c r="C73" s="143" t="s">
        <v>86</v>
      </c>
      <c r="D73" s="144">
        <v>4</v>
      </c>
      <c r="E73" s="145"/>
      <c r="F73" s="158">
        <f t="shared" si="2"/>
        <v>0</v>
      </c>
      <c r="G73" s="698"/>
    </row>
    <row r="74" spans="1:7" s="148" customFormat="1" ht="57.6" x14ac:dyDescent="0.2">
      <c r="A74" s="149" t="s">
        <v>697</v>
      </c>
      <c r="B74" s="142" t="s">
        <v>1712</v>
      </c>
      <c r="C74" s="143" t="s">
        <v>86</v>
      </c>
      <c r="D74" s="144">
        <v>4</v>
      </c>
      <c r="E74" s="145"/>
      <c r="F74" s="158">
        <f t="shared" si="2"/>
        <v>0</v>
      </c>
      <c r="G74" s="698"/>
    </row>
    <row r="75" spans="1:7" s="148" customFormat="1" ht="57.6" x14ac:dyDescent="0.2">
      <c r="A75" s="149" t="s">
        <v>698</v>
      </c>
      <c r="B75" s="142" t="s">
        <v>1713</v>
      </c>
      <c r="C75" s="143" t="s">
        <v>86</v>
      </c>
      <c r="D75" s="144">
        <v>7</v>
      </c>
      <c r="E75" s="145"/>
      <c r="F75" s="158">
        <f t="shared" si="2"/>
        <v>0</v>
      </c>
      <c r="G75" s="698"/>
    </row>
    <row r="76" spans="1:7" s="148" customFormat="1" ht="57.6" x14ac:dyDescent="0.2">
      <c r="A76" s="149" t="s">
        <v>699</v>
      </c>
      <c r="B76" s="142" t="s">
        <v>1714</v>
      </c>
      <c r="C76" s="143" t="s">
        <v>86</v>
      </c>
      <c r="D76" s="144">
        <v>7</v>
      </c>
      <c r="E76" s="145"/>
      <c r="F76" s="158">
        <f t="shared" si="2"/>
        <v>0</v>
      </c>
      <c r="G76" s="698"/>
    </row>
    <row r="77" spans="1:7" s="148" customFormat="1" ht="80.400000000000006" x14ac:dyDescent="0.2">
      <c r="A77" s="149" t="s">
        <v>700</v>
      </c>
      <c r="B77" s="142" t="s">
        <v>1715</v>
      </c>
      <c r="C77" s="143" t="s">
        <v>86</v>
      </c>
      <c r="D77" s="144">
        <v>6</v>
      </c>
      <c r="E77" s="145"/>
      <c r="F77" s="158">
        <f t="shared" si="2"/>
        <v>0</v>
      </c>
      <c r="G77" s="698"/>
    </row>
    <row r="78" spans="1:7" s="148" customFormat="1" ht="80.400000000000006" x14ac:dyDescent="0.2">
      <c r="A78" s="149" t="s">
        <v>701</v>
      </c>
      <c r="B78" s="142" t="s">
        <v>1716</v>
      </c>
      <c r="C78" s="143" t="s">
        <v>86</v>
      </c>
      <c r="D78" s="144">
        <v>75</v>
      </c>
      <c r="E78" s="145"/>
      <c r="F78" s="158">
        <f t="shared" si="2"/>
        <v>0</v>
      </c>
      <c r="G78" s="698"/>
    </row>
    <row r="79" spans="1:7" s="148" customFormat="1" ht="69" x14ac:dyDescent="0.2">
      <c r="A79" s="149" t="s">
        <v>702</v>
      </c>
      <c r="B79" s="142" t="s">
        <v>1717</v>
      </c>
      <c r="C79" s="143" t="s">
        <v>86</v>
      </c>
      <c r="D79" s="144">
        <v>1</v>
      </c>
      <c r="E79" s="145"/>
      <c r="F79" s="158">
        <f t="shared" si="2"/>
        <v>0</v>
      </c>
      <c r="G79" s="698"/>
    </row>
    <row r="80" spans="1:7" s="148" customFormat="1" ht="57.6" x14ac:dyDescent="0.2">
      <c r="A80" s="149" t="s">
        <v>703</v>
      </c>
      <c r="B80" s="142" t="s">
        <v>1718</v>
      </c>
      <c r="C80" s="143" t="s">
        <v>86</v>
      </c>
      <c r="D80" s="144">
        <v>2</v>
      </c>
      <c r="E80" s="145"/>
      <c r="F80" s="158">
        <f t="shared" si="2"/>
        <v>0</v>
      </c>
      <c r="G80" s="698"/>
    </row>
    <row r="81" spans="1:7" s="148" customFormat="1" ht="34.799999999999997" x14ac:dyDescent="0.2">
      <c r="A81" s="149" t="s">
        <v>704</v>
      </c>
      <c r="B81" s="142" t="s">
        <v>1719</v>
      </c>
      <c r="C81" s="143" t="s">
        <v>86</v>
      </c>
      <c r="D81" s="144">
        <v>1</v>
      </c>
      <c r="E81" s="145"/>
      <c r="F81" s="158">
        <f t="shared" si="2"/>
        <v>0</v>
      </c>
      <c r="G81" s="698"/>
    </row>
    <row r="82" spans="1:7" s="148" customFormat="1" ht="81" x14ac:dyDescent="0.2">
      <c r="A82" s="149" t="s">
        <v>24</v>
      </c>
      <c r="B82" s="142" t="s">
        <v>1720</v>
      </c>
      <c r="C82" s="143" t="s">
        <v>86</v>
      </c>
      <c r="D82" s="144">
        <v>2</v>
      </c>
      <c r="E82" s="145"/>
      <c r="F82" s="158">
        <f>E82*D82</f>
        <v>0</v>
      </c>
      <c r="G82" s="698"/>
    </row>
    <row r="83" spans="1:7" s="148" customFormat="1" ht="11.4" x14ac:dyDescent="0.2">
      <c r="A83" s="141" t="s">
        <v>25</v>
      </c>
      <c r="B83" s="142" t="s">
        <v>682</v>
      </c>
      <c r="C83" s="143" t="s">
        <v>10</v>
      </c>
      <c r="D83" s="144">
        <v>1</v>
      </c>
      <c r="E83" s="145"/>
      <c r="F83" s="158">
        <f>D83*E83</f>
        <v>0</v>
      </c>
    </row>
    <row r="84" spans="1:7" s="148" customFormat="1" ht="12" x14ac:dyDescent="0.2">
      <c r="A84" s="141"/>
      <c r="B84" s="151" t="s">
        <v>599</v>
      </c>
      <c r="C84" s="143"/>
      <c r="D84" s="144"/>
      <c r="E84" s="145"/>
      <c r="F84" s="158">
        <f>SUM(F59:F83)</f>
        <v>0</v>
      </c>
    </row>
    <row r="85" spans="1:7" s="140" customFormat="1" ht="27.6" x14ac:dyDescent="0.25">
      <c r="A85" s="135" t="s">
        <v>600</v>
      </c>
      <c r="B85" s="136" t="s">
        <v>705</v>
      </c>
      <c r="C85" s="137"/>
      <c r="D85" s="138"/>
      <c r="E85" s="137"/>
      <c r="F85" s="139"/>
    </row>
    <row r="86" spans="1:7" s="148" customFormat="1" ht="45.6" x14ac:dyDescent="0.2">
      <c r="A86" s="149" t="s">
        <v>706</v>
      </c>
      <c r="B86" s="142" t="s">
        <v>707</v>
      </c>
      <c r="C86" s="143"/>
      <c r="D86" s="144"/>
      <c r="E86" s="145"/>
      <c r="F86" s="158"/>
    </row>
    <row r="87" spans="1:7" s="148" customFormat="1" ht="11.4" x14ac:dyDescent="0.2">
      <c r="A87" s="149"/>
      <c r="B87" s="224" t="s">
        <v>708</v>
      </c>
      <c r="C87" s="143"/>
      <c r="D87" s="144"/>
      <c r="E87" s="145"/>
      <c r="F87" s="158"/>
    </row>
    <row r="88" spans="1:7" s="148" customFormat="1" ht="22.8" x14ac:dyDescent="0.2">
      <c r="A88" s="149" t="s">
        <v>709</v>
      </c>
      <c r="B88" s="142" t="s">
        <v>710</v>
      </c>
      <c r="C88" s="143" t="s">
        <v>632</v>
      </c>
      <c r="D88" s="144">
        <v>60</v>
      </c>
      <c r="E88" s="145"/>
      <c r="F88" s="158">
        <f t="shared" ref="F88:F100" si="3">E88*D88</f>
        <v>0</v>
      </c>
    </row>
    <row r="89" spans="1:7" s="148" customFormat="1" ht="22.8" x14ac:dyDescent="0.2">
      <c r="A89" s="149" t="s">
        <v>711</v>
      </c>
      <c r="B89" s="142" t="s">
        <v>712</v>
      </c>
      <c r="C89" s="143" t="s">
        <v>632</v>
      </c>
      <c r="D89" s="144">
        <v>15</v>
      </c>
      <c r="E89" s="145"/>
      <c r="F89" s="158">
        <f t="shared" si="3"/>
        <v>0</v>
      </c>
    </row>
    <row r="90" spans="1:7" s="148" customFormat="1" ht="22.8" x14ac:dyDescent="0.2">
      <c r="A90" s="149" t="s">
        <v>713</v>
      </c>
      <c r="B90" s="142" t="s">
        <v>714</v>
      </c>
      <c r="C90" s="143" t="s">
        <v>632</v>
      </c>
      <c r="D90" s="144">
        <v>6</v>
      </c>
      <c r="E90" s="145"/>
      <c r="F90" s="158">
        <f t="shared" si="3"/>
        <v>0</v>
      </c>
    </row>
    <row r="91" spans="1:7" s="148" customFormat="1" ht="22.8" x14ac:dyDescent="0.2">
      <c r="A91" s="149" t="s">
        <v>715</v>
      </c>
      <c r="B91" s="142" t="s">
        <v>716</v>
      </c>
      <c r="C91" s="143" t="s">
        <v>632</v>
      </c>
      <c r="D91" s="144">
        <v>12</v>
      </c>
      <c r="E91" s="145"/>
      <c r="F91" s="158">
        <f t="shared" si="3"/>
        <v>0</v>
      </c>
    </row>
    <row r="92" spans="1:7" s="148" customFormat="1" ht="22.8" x14ac:dyDescent="0.2">
      <c r="A92" s="149" t="s">
        <v>717</v>
      </c>
      <c r="B92" s="142" t="s">
        <v>718</v>
      </c>
      <c r="C92" s="143" t="s">
        <v>86</v>
      </c>
      <c r="D92" s="144">
        <v>6</v>
      </c>
      <c r="E92" s="145"/>
      <c r="F92" s="158">
        <f t="shared" si="3"/>
        <v>0</v>
      </c>
    </row>
    <row r="93" spans="1:7" s="148" customFormat="1" ht="22.8" x14ac:dyDescent="0.2">
      <c r="A93" s="149" t="s">
        <v>719</v>
      </c>
      <c r="B93" s="142" t="s">
        <v>720</v>
      </c>
      <c r="C93" s="143" t="s">
        <v>86</v>
      </c>
      <c r="D93" s="144">
        <v>1</v>
      </c>
      <c r="E93" s="145"/>
      <c r="F93" s="158">
        <f t="shared" si="3"/>
        <v>0</v>
      </c>
    </row>
    <row r="94" spans="1:7" s="148" customFormat="1" ht="22.8" x14ac:dyDescent="0.2">
      <c r="A94" s="149" t="s">
        <v>721</v>
      </c>
      <c r="B94" s="142" t="s">
        <v>722</v>
      </c>
      <c r="C94" s="143" t="s">
        <v>86</v>
      </c>
      <c r="D94" s="144">
        <v>1</v>
      </c>
      <c r="E94" s="145"/>
      <c r="F94" s="158">
        <f t="shared" si="3"/>
        <v>0</v>
      </c>
    </row>
    <row r="95" spans="1:7" s="148" customFormat="1" ht="22.8" x14ac:dyDescent="0.2">
      <c r="A95" s="149" t="s">
        <v>723</v>
      </c>
      <c r="B95" s="142" t="s">
        <v>724</v>
      </c>
      <c r="C95" s="143" t="s">
        <v>86</v>
      </c>
      <c r="D95" s="144">
        <v>10</v>
      </c>
      <c r="E95" s="145"/>
      <c r="F95" s="158">
        <f t="shared" si="3"/>
        <v>0</v>
      </c>
    </row>
    <row r="96" spans="1:7" s="148" customFormat="1" ht="22.8" x14ac:dyDescent="0.2">
      <c r="A96" s="149" t="s">
        <v>725</v>
      </c>
      <c r="B96" s="142" t="s">
        <v>726</v>
      </c>
      <c r="C96" s="143" t="s">
        <v>86</v>
      </c>
      <c r="D96" s="144">
        <v>8</v>
      </c>
      <c r="E96" s="145"/>
      <c r="F96" s="158">
        <f t="shared" si="3"/>
        <v>0</v>
      </c>
    </row>
    <row r="97" spans="1:6" s="148" customFormat="1" ht="22.8" x14ac:dyDescent="0.2">
      <c r="A97" s="149" t="s">
        <v>727</v>
      </c>
      <c r="B97" s="142" t="s">
        <v>728</v>
      </c>
      <c r="C97" s="143" t="s">
        <v>86</v>
      </c>
      <c r="D97" s="144">
        <v>4</v>
      </c>
      <c r="E97" s="145"/>
      <c r="F97" s="158">
        <f t="shared" si="3"/>
        <v>0</v>
      </c>
    </row>
    <row r="98" spans="1:6" s="148" customFormat="1" ht="22.8" x14ac:dyDescent="0.2">
      <c r="A98" s="149" t="s">
        <v>729</v>
      </c>
      <c r="B98" s="142" t="s">
        <v>730</v>
      </c>
      <c r="C98" s="143" t="s">
        <v>86</v>
      </c>
      <c r="D98" s="144">
        <v>10</v>
      </c>
      <c r="E98" s="145"/>
      <c r="F98" s="158">
        <f t="shared" si="3"/>
        <v>0</v>
      </c>
    </row>
    <row r="99" spans="1:6" s="148" customFormat="1" ht="22.8" x14ac:dyDescent="0.2">
      <c r="A99" s="149" t="s">
        <v>731</v>
      </c>
      <c r="B99" s="142" t="s">
        <v>732</v>
      </c>
      <c r="C99" s="143" t="s">
        <v>86</v>
      </c>
      <c r="D99" s="144">
        <v>35</v>
      </c>
      <c r="E99" s="145"/>
      <c r="F99" s="158">
        <f t="shared" si="3"/>
        <v>0</v>
      </c>
    </row>
    <row r="100" spans="1:6" s="148" customFormat="1" ht="22.8" x14ac:dyDescent="0.2">
      <c r="A100" s="149" t="s">
        <v>733</v>
      </c>
      <c r="B100" s="142" t="s">
        <v>734</v>
      </c>
      <c r="C100" s="143" t="s">
        <v>86</v>
      </c>
      <c r="D100" s="144">
        <v>10</v>
      </c>
      <c r="E100" s="145"/>
      <c r="F100" s="158">
        <f t="shared" si="3"/>
        <v>0</v>
      </c>
    </row>
    <row r="101" spans="1:6" s="148" customFormat="1" ht="11.4" x14ac:dyDescent="0.2">
      <c r="A101" s="149"/>
      <c r="B101" s="224" t="s">
        <v>735</v>
      </c>
      <c r="C101" s="143"/>
      <c r="D101" s="144"/>
      <c r="E101" s="145"/>
      <c r="F101" s="158"/>
    </row>
    <row r="102" spans="1:6" s="148" customFormat="1" ht="22.8" x14ac:dyDescent="0.2">
      <c r="A102" s="149" t="s">
        <v>736</v>
      </c>
      <c r="B102" s="142" t="s">
        <v>710</v>
      </c>
      <c r="C102" s="143" t="s">
        <v>632</v>
      </c>
      <c r="D102" s="144">
        <v>95</v>
      </c>
      <c r="E102" s="145"/>
      <c r="F102" s="158">
        <f t="shared" ref="F102:F110" si="4">E102*D102</f>
        <v>0</v>
      </c>
    </row>
    <row r="103" spans="1:6" s="148" customFormat="1" ht="22.8" x14ac:dyDescent="0.2">
      <c r="A103" s="149" t="s">
        <v>737</v>
      </c>
      <c r="B103" s="142" t="s">
        <v>712</v>
      </c>
      <c r="C103" s="143" t="s">
        <v>632</v>
      </c>
      <c r="D103" s="144">
        <v>60</v>
      </c>
      <c r="E103" s="145"/>
      <c r="F103" s="158">
        <f t="shared" si="4"/>
        <v>0</v>
      </c>
    </row>
    <row r="104" spans="1:6" s="148" customFormat="1" ht="22.8" x14ac:dyDescent="0.2">
      <c r="A104" s="149" t="s">
        <v>738</v>
      </c>
      <c r="B104" s="142" t="s">
        <v>739</v>
      </c>
      <c r="C104" s="143" t="s">
        <v>86</v>
      </c>
      <c r="D104" s="144">
        <v>2</v>
      </c>
      <c r="E104" s="145"/>
      <c r="F104" s="158">
        <f t="shared" si="4"/>
        <v>0</v>
      </c>
    </row>
    <row r="105" spans="1:6" s="148" customFormat="1" ht="22.8" x14ac:dyDescent="0.2">
      <c r="A105" s="149" t="s">
        <v>740</v>
      </c>
      <c r="B105" s="142" t="s">
        <v>741</v>
      </c>
      <c r="C105" s="143" t="s">
        <v>86</v>
      </c>
      <c r="D105" s="144">
        <v>4</v>
      </c>
      <c r="E105" s="145"/>
      <c r="F105" s="158">
        <f t="shared" si="4"/>
        <v>0</v>
      </c>
    </row>
    <row r="106" spans="1:6" s="148" customFormat="1" ht="22.8" x14ac:dyDescent="0.2">
      <c r="A106" s="149" t="s">
        <v>742</v>
      </c>
      <c r="B106" s="142" t="s">
        <v>720</v>
      </c>
      <c r="C106" s="143" t="s">
        <v>86</v>
      </c>
      <c r="D106" s="144">
        <v>2</v>
      </c>
      <c r="E106" s="145"/>
      <c r="F106" s="158">
        <f t="shared" si="4"/>
        <v>0</v>
      </c>
    </row>
    <row r="107" spans="1:6" s="148" customFormat="1" ht="22.8" x14ac:dyDescent="0.2">
      <c r="A107" s="149" t="s">
        <v>743</v>
      </c>
      <c r="B107" s="142" t="s">
        <v>724</v>
      </c>
      <c r="C107" s="143" t="s">
        <v>86</v>
      </c>
      <c r="D107" s="144">
        <v>10</v>
      </c>
      <c r="E107" s="145"/>
      <c r="F107" s="158">
        <f t="shared" si="4"/>
        <v>0</v>
      </c>
    </row>
    <row r="108" spans="1:6" s="148" customFormat="1" ht="22.8" x14ac:dyDescent="0.2">
      <c r="A108" s="149" t="s">
        <v>744</v>
      </c>
      <c r="B108" s="142" t="s">
        <v>730</v>
      </c>
      <c r="C108" s="143" t="s">
        <v>86</v>
      </c>
      <c r="D108" s="144">
        <v>30</v>
      </c>
      <c r="E108" s="145"/>
      <c r="F108" s="158">
        <f t="shared" si="4"/>
        <v>0</v>
      </c>
    </row>
    <row r="109" spans="1:6" s="148" customFormat="1" ht="22.8" x14ac:dyDescent="0.2">
      <c r="A109" s="149" t="s">
        <v>745</v>
      </c>
      <c r="B109" s="142" t="s">
        <v>732</v>
      </c>
      <c r="C109" s="143" t="s">
        <v>86</v>
      </c>
      <c r="D109" s="144">
        <v>50</v>
      </c>
      <c r="E109" s="145"/>
      <c r="F109" s="158">
        <f t="shared" si="4"/>
        <v>0</v>
      </c>
    </row>
    <row r="110" spans="1:6" s="148" customFormat="1" ht="22.8" x14ac:dyDescent="0.2">
      <c r="A110" s="149" t="s">
        <v>746</v>
      </c>
      <c r="B110" s="142" t="s">
        <v>734</v>
      </c>
      <c r="C110" s="143" t="s">
        <v>86</v>
      </c>
      <c r="D110" s="144">
        <v>35</v>
      </c>
      <c r="E110" s="145"/>
      <c r="F110" s="158">
        <f t="shared" si="4"/>
        <v>0</v>
      </c>
    </row>
    <row r="111" spans="1:6" s="148" customFormat="1" ht="45.6" x14ac:dyDescent="0.2">
      <c r="A111" s="149" t="s">
        <v>29</v>
      </c>
      <c r="B111" s="142" t="s">
        <v>747</v>
      </c>
      <c r="C111" s="143"/>
      <c r="D111" s="144"/>
      <c r="E111" s="145"/>
      <c r="F111" s="158"/>
    </row>
    <row r="112" spans="1:6" s="148" customFormat="1" ht="11.4" x14ac:dyDescent="0.2">
      <c r="A112" s="149" t="s">
        <v>748</v>
      </c>
      <c r="B112" s="142" t="s">
        <v>749</v>
      </c>
      <c r="C112" s="143" t="s">
        <v>632</v>
      </c>
      <c r="D112" s="144">
        <v>1000</v>
      </c>
      <c r="E112" s="145"/>
      <c r="F112" s="158">
        <f t="shared" ref="F112:F117" si="5">D112*E112</f>
        <v>0</v>
      </c>
    </row>
    <row r="113" spans="1:7" s="148" customFormat="1" ht="11.4" x14ac:dyDescent="0.2">
      <c r="A113" s="149" t="s">
        <v>750</v>
      </c>
      <c r="B113" s="142" t="s">
        <v>751</v>
      </c>
      <c r="C113" s="143" t="s">
        <v>632</v>
      </c>
      <c r="D113" s="144">
        <v>550</v>
      </c>
      <c r="E113" s="145"/>
      <c r="F113" s="158">
        <f t="shared" si="5"/>
        <v>0</v>
      </c>
    </row>
    <row r="114" spans="1:7" s="148" customFormat="1" ht="11.4" x14ac:dyDescent="0.2">
      <c r="A114" s="149" t="s">
        <v>752</v>
      </c>
      <c r="B114" s="142" t="s">
        <v>753</v>
      </c>
      <c r="C114" s="143" t="s">
        <v>632</v>
      </c>
      <c r="D114" s="144">
        <v>300</v>
      </c>
      <c r="E114" s="145"/>
      <c r="F114" s="158">
        <f t="shared" si="5"/>
        <v>0</v>
      </c>
    </row>
    <row r="115" spans="1:7" s="148" customFormat="1" ht="11.4" x14ac:dyDescent="0.2">
      <c r="A115" s="149" t="s">
        <v>754</v>
      </c>
      <c r="B115" s="142" t="s">
        <v>755</v>
      </c>
      <c r="C115" s="143" t="s">
        <v>632</v>
      </c>
      <c r="D115" s="144">
        <v>70</v>
      </c>
      <c r="E115" s="145"/>
      <c r="F115" s="158">
        <f t="shared" si="5"/>
        <v>0</v>
      </c>
    </row>
    <row r="116" spans="1:7" s="148" customFormat="1" ht="11.4" x14ac:dyDescent="0.2">
      <c r="A116" s="149" t="s">
        <v>756</v>
      </c>
      <c r="B116" s="142" t="s">
        <v>757</v>
      </c>
      <c r="C116" s="143" t="s">
        <v>632</v>
      </c>
      <c r="D116" s="144">
        <v>70</v>
      </c>
      <c r="E116" s="145"/>
      <c r="F116" s="158">
        <f>D116*E116</f>
        <v>0</v>
      </c>
    </row>
    <row r="117" spans="1:7" s="148" customFormat="1" ht="11.4" x14ac:dyDescent="0.2">
      <c r="A117" s="149" t="s">
        <v>228</v>
      </c>
      <c r="B117" s="142" t="s">
        <v>687</v>
      </c>
      <c r="C117" s="143" t="s">
        <v>10</v>
      </c>
      <c r="D117" s="144">
        <v>1</v>
      </c>
      <c r="E117" s="145"/>
      <c r="F117" s="158">
        <f t="shared" si="5"/>
        <v>0</v>
      </c>
    </row>
    <row r="118" spans="1:7" s="148" customFormat="1" ht="12" x14ac:dyDescent="0.2">
      <c r="A118" s="141"/>
      <c r="B118" s="151" t="s">
        <v>606</v>
      </c>
      <c r="C118" s="143"/>
      <c r="D118" s="144"/>
      <c r="E118" s="145"/>
      <c r="F118" s="158">
        <f>SUM(F87:F117)</f>
        <v>0</v>
      </c>
    </row>
    <row r="119" spans="1:7" s="140" customFormat="1" ht="41.4" x14ac:dyDescent="0.25">
      <c r="A119" s="135" t="s">
        <v>758</v>
      </c>
      <c r="B119" s="136" t="s">
        <v>759</v>
      </c>
      <c r="C119" s="137"/>
      <c r="D119" s="138"/>
      <c r="E119" s="137"/>
      <c r="F119" s="139"/>
    </row>
    <row r="120" spans="1:7" s="148" customFormat="1" ht="45.6" x14ac:dyDescent="0.2">
      <c r="A120" s="149" t="s">
        <v>30</v>
      </c>
      <c r="B120" s="142" t="s">
        <v>760</v>
      </c>
      <c r="C120" s="143"/>
      <c r="D120" s="144"/>
      <c r="E120" s="145"/>
      <c r="F120" s="158"/>
    </row>
    <row r="121" spans="1:7" s="148" customFormat="1" ht="70.8" x14ac:dyDescent="0.2">
      <c r="A121" s="149" t="s">
        <v>761</v>
      </c>
      <c r="B121" s="142" t="s">
        <v>1721</v>
      </c>
      <c r="C121" s="143" t="s">
        <v>86</v>
      </c>
      <c r="D121" s="144">
        <v>18</v>
      </c>
      <c r="E121" s="145"/>
      <c r="F121" s="158">
        <f>D121*E121</f>
        <v>0</v>
      </c>
      <c r="G121" s="698"/>
    </row>
    <row r="122" spans="1:7" s="148" customFormat="1" ht="69" x14ac:dyDescent="0.2">
      <c r="A122" s="149" t="s">
        <v>762</v>
      </c>
      <c r="B122" s="142" t="s">
        <v>1722</v>
      </c>
      <c r="C122" s="143" t="s">
        <v>86</v>
      </c>
      <c r="D122" s="144">
        <v>4</v>
      </c>
      <c r="E122" s="145"/>
      <c r="F122" s="158">
        <f>D122*E122</f>
        <v>0</v>
      </c>
      <c r="G122" s="698"/>
    </row>
    <row r="123" spans="1:7" s="148" customFormat="1" ht="69" x14ac:dyDescent="0.2">
      <c r="A123" s="149" t="s">
        <v>763</v>
      </c>
      <c r="B123" s="142" t="s">
        <v>1723</v>
      </c>
      <c r="C123" s="143" t="s">
        <v>86</v>
      </c>
      <c r="D123" s="144">
        <v>49</v>
      </c>
      <c r="E123" s="145"/>
      <c r="F123" s="158">
        <f>D123*E123</f>
        <v>0</v>
      </c>
      <c r="G123" s="698"/>
    </row>
    <row r="124" spans="1:7" s="148" customFormat="1" ht="69" x14ac:dyDescent="0.2">
      <c r="A124" s="149" t="s">
        <v>764</v>
      </c>
      <c r="B124" s="142" t="s">
        <v>1724</v>
      </c>
      <c r="C124" s="143" t="s">
        <v>86</v>
      </c>
      <c r="D124" s="144">
        <v>12</v>
      </c>
      <c r="E124" s="145"/>
      <c r="F124" s="158">
        <f>D124*E124</f>
        <v>0</v>
      </c>
      <c r="G124" s="698"/>
    </row>
    <row r="125" spans="1:7" s="148" customFormat="1" ht="114.6" x14ac:dyDescent="0.2">
      <c r="A125" s="149" t="s">
        <v>765</v>
      </c>
      <c r="B125" s="142" t="s">
        <v>1725</v>
      </c>
      <c r="C125" s="143" t="s">
        <v>86</v>
      </c>
      <c r="D125" s="144">
        <v>8</v>
      </c>
      <c r="E125" s="145"/>
      <c r="F125" s="158">
        <f t="shared" ref="F125:F132" si="6">D125*E125</f>
        <v>0</v>
      </c>
      <c r="G125" s="698"/>
    </row>
    <row r="126" spans="1:7" s="148" customFormat="1" ht="171.6" x14ac:dyDescent="0.2">
      <c r="A126" s="149" t="s">
        <v>766</v>
      </c>
      <c r="B126" s="142" t="s">
        <v>1726</v>
      </c>
      <c r="C126" s="143" t="s">
        <v>86</v>
      </c>
      <c r="D126" s="144">
        <v>2</v>
      </c>
      <c r="E126" s="145"/>
      <c r="F126" s="158">
        <f t="shared" si="6"/>
        <v>0</v>
      </c>
      <c r="G126" s="698"/>
    </row>
    <row r="127" spans="1:7" s="148" customFormat="1" ht="79.8" x14ac:dyDescent="0.2">
      <c r="A127" s="149" t="s">
        <v>767</v>
      </c>
      <c r="B127" s="142" t="s">
        <v>768</v>
      </c>
      <c r="C127" s="143" t="s">
        <v>86</v>
      </c>
      <c r="D127" s="144">
        <v>15</v>
      </c>
      <c r="E127" s="145"/>
      <c r="F127" s="158">
        <f t="shared" si="6"/>
        <v>0</v>
      </c>
      <c r="G127" s="703" t="s">
        <v>1781</v>
      </c>
    </row>
    <row r="128" spans="1:7" s="148" customFormat="1" ht="57" x14ac:dyDescent="0.2">
      <c r="A128" s="149" t="s">
        <v>769</v>
      </c>
      <c r="B128" s="142" t="s">
        <v>770</v>
      </c>
      <c r="C128" s="143" t="s">
        <v>86</v>
      </c>
      <c r="D128" s="144">
        <v>2</v>
      </c>
      <c r="E128" s="145"/>
      <c r="F128" s="158">
        <f t="shared" si="6"/>
        <v>0</v>
      </c>
      <c r="G128" s="703" t="s">
        <v>1781</v>
      </c>
    </row>
    <row r="129" spans="1:7" s="148" customFormat="1" ht="68.400000000000006" x14ac:dyDescent="0.2">
      <c r="A129" s="149" t="s">
        <v>771</v>
      </c>
      <c r="B129" s="142" t="s">
        <v>772</v>
      </c>
      <c r="C129" s="143" t="s">
        <v>86</v>
      </c>
      <c r="D129" s="144">
        <v>9</v>
      </c>
      <c r="E129" s="145"/>
      <c r="F129" s="158">
        <f t="shared" si="6"/>
        <v>0</v>
      </c>
      <c r="G129" s="703" t="s">
        <v>1781</v>
      </c>
    </row>
    <row r="130" spans="1:7" s="148" customFormat="1" ht="79.8" x14ac:dyDescent="0.2">
      <c r="A130" s="149" t="s">
        <v>773</v>
      </c>
      <c r="B130" s="142" t="s">
        <v>774</v>
      </c>
      <c r="C130" s="143" t="s">
        <v>86</v>
      </c>
      <c r="D130" s="144">
        <v>4</v>
      </c>
      <c r="E130" s="145"/>
      <c r="F130" s="158">
        <f t="shared" si="6"/>
        <v>0</v>
      </c>
      <c r="G130" s="703" t="s">
        <v>1781</v>
      </c>
    </row>
    <row r="131" spans="1:7" s="148" customFormat="1" ht="79.8" x14ac:dyDescent="0.2">
      <c r="A131" s="149" t="s">
        <v>775</v>
      </c>
      <c r="B131" s="142" t="s">
        <v>776</v>
      </c>
      <c r="C131" s="143" t="s">
        <v>86</v>
      </c>
      <c r="D131" s="144">
        <v>2</v>
      </c>
      <c r="E131" s="145"/>
      <c r="F131" s="158">
        <f t="shared" si="6"/>
        <v>0</v>
      </c>
      <c r="G131" s="703" t="s">
        <v>1781</v>
      </c>
    </row>
    <row r="132" spans="1:7" ht="34.799999999999997" x14ac:dyDescent="0.25">
      <c r="A132" s="149" t="s">
        <v>777</v>
      </c>
      <c r="B132" s="225" t="s">
        <v>778</v>
      </c>
      <c r="C132" s="143" t="s">
        <v>86</v>
      </c>
      <c r="D132" s="144">
        <v>2</v>
      </c>
      <c r="E132" s="145"/>
      <c r="F132" s="226">
        <f t="shared" si="6"/>
        <v>0</v>
      </c>
      <c r="G132" s="703" t="s">
        <v>1781</v>
      </c>
    </row>
    <row r="133" spans="1:7" s="148" customFormat="1" ht="45.6" x14ac:dyDescent="0.2">
      <c r="A133" s="149" t="s">
        <v>31</v>
      </c>
      <c r="B133" s="142" t="s">
        <v>779</v>
      </c>
      <c r="C133" s="143"/>
      <c r="D133" s="144"/>
      <c r="E133" s="145"/>
      <c r="F133" s="158"/>
    </row>
    <row r="134" spans="1:7" s="148" customFormat="1" ht="57.6" x14ac:dyDescent="0.2">
      <c r="A134" s="149" t="s">
        <v>780</v>
      </c>
      <c r="B134" s="142" t="s">
        <v>1727</v>
      </c>
      <c r="C134" s="143" t="s">
        <v>86</v>
      </c>
      <c r="D134" s="144">
        <v>13</v>
      </c>
      <c r="E134" s="145"/>
      <c r="F134" s="158">
        <f>E134*D134</f>
        <v>0</v>
      </c>
      <c r="G134" s="698"/>
    </row>
    <row r="135" spans="1:7" s="148" customFormat="1" ht="57.6" x14ac:dyDescent="0.2">
      <c r="A135" s="149" t="s">
        <v>781</v>
      </c>
      <c r="B135" s="142" t="s">
        <v>1728</v>
      </c>
      <c r="C135" s="143" t="s">
        <v>86</v>
      </c>
      <c r="D135" s="144">
        <v>2</v>
      </c>
      <c r="E135" s="145"/>
      <c r="F135" s="158">
        <f>E135*D135</f>
        <v>0</v>
      </c>
      <c r="G135" s="698"/>
    </row>
    <row r="136" spans="1:7" s="148" customFormat="1" ht="46.2" x14ac:dyDescent="0.2">
      <c r="A136" s="149" t="s">
        <v>782</v>
      </c>
      <c r="B136" s="142" t="s">
        <v>1729</v>
      </c>
      <c r="C136" s="143" t="s">
        <v>86</v>
      </c>
      <c r="D136" s="144">
        <v>10</v>
      </c>
      <c r="E136" s="145"/>
      <c r="F136" s="158">
        <f>E136*D136</f>
        <v>0</v>
      </c>
      <c r="G136" s="698"/>
    </row>
    <row r="137" spans="1:7" s="148" customFormat="1" ht="35.4" x14ac:dyDescent="0.2">
      <c r="A137" s="149" t="s">
        <v>783</v>
      </c>
      <c r="B137" s="142" t="s">
        <v>1730</v>
      </c>
      <c r="C137" s="143" t="s">
        <v>86</v>
      </c>
      <c r="D137" s="144">
        <v>8</v>
      </c>
      <c r="E137" s="145"/>
      <c r="F137" s="158">
        <f>E137*D137</f>
        <v>0</v>
      </c>
      <c r="G137" s="698"/>
    </row>
    <row r="138" spans="1:7" s="148" customFormat="1" ht="34.799999999999997" x14ac:dyDescent="0.2">
      <c r="A138" s="149" t="s">
        <v>784</v>
      </c>
      <c r="B138" s="142" t="s">
        <v>1731</v>
      </c>
      <c r="C138" s="143" t="s">
        <v>86</v>
      </c>
      <c r="D138" s="144">
        <v>20</v>
      </c>
      <c r="E138" s="145"/>
      <c r="F138" s="158">
        <f>E138*D138</f>
        <v>0</v>
      </c>
      <c r="G138" s="698"/>
    </row>
    <row r="139" spans="1:7" s="148" customFormat="1" ht="24" x14ac:dyDescent="0.2">
      <c r="A139" s="149" t="s">
        <v>785</v>
      </c>
      <c r="B139" s="142" t="s">
        <v>1732</v>
      </c>
      <c r="C139" s="143" t="s">
        <v>86</v>
      </c>
      <c r="D139" s="144">
        <v>15</v>
      </c>
      <c r="E139" s="145"/>
      <c r="F139" s="158">
        <f>D139*E139</f>
        <v>0</v>
      </c>
      <c r="G139" s="698"/>
    </row>
    <row r="140" spans="1:7" s="148" customFormat="1" ht="34.799999999999997" x14ac:dyDescent="0.2">
      <c r="A140" s="149" t="s">
        <v>786</v>
      </c>
      <c r="B140" s="142" t="s">
        <v>1733</v>
      </c>
      <c r="C140" s="143" t="s">
        <v>86</v>
      </c>
      <c r="D140" s="144">
        <v>4</v>
      </c>
      <c r="E140" s="145"/>
      <c r="F140" s="158">
        <f>D140*E140</f>
        <v>0</v>
      </c>
      <c r="G140" s="698"/>
    </row>
    <row r="141" spans="1:7" s="148" customFormat="1" ht="34.799999999999997" x14ac:dyDescent="0.2">
      <c r="A141" s="149" t="s">
        <v>787</v>
      </c>
      <c r="B141" s="142" t="s">
        <v>1734</v>
      </c>
      <c r="C141" s="143" t="s">
        <v>86</v>
      </c>
      <c r="D141" s="144">
        <v>2</v>
      </c>
      <c r="E141" s="145"/>
      <c r="F141" s="158">
        <f>D141*E141</f>
        <v>0</v>
      </c>
      <c r="G141" s="698"/>
    </row>
    <row r="142" spans="1:7" s="148" customFormat="1" ht="57.6" x14ac:dyDescent="0.2">
      <c r="A142" s="149" t="s">
        <v>788</v>
      </c>
      <c r="B142" s="142" t="s">
        <v>1735</v>
      </c>
      <c r="C142" s="143" t="s">
        <v>86</v>
      </c>
      <c r="D142" s="144">
        <v>1</v>
      </c>
      <c r="E142" s="145"/>
      <c r="F142" s="158">
        <f>E142*D142</f>
        <v>0</v>
      </c>
      <c r="G142" s="698"/>
    </row>
    <row r="143" spans="1:7" s="148" customFormat="1" ht="50.4" customHeight="1" x14ac:dyDescent="0.2">
      <c r="A143" s="149" t="s">
        <v>789</v>
      </c>
      <c r="B143" s="142" t="s">
        <v>790</v>
      </c>
      <c r="C143" s="143" t="s">
        <v>10</v>
      </c>
      <c r="D143" s="144">
        <v>1</v>
      </c>
      <c r="E143" s="145"/>
      <c r="F143" s="158">
        <f>D143*E143</f>
        <v>0</v>
      </c>
    </row>
    <row r="144" spans="1:7" s="16" customFormat="1" ht="46.2" x14ac:dyDescent="0.25">
      <c r="A144" s="149" t="s">
        <v>791</v>
      </c>
      <c r="B144" s="142" t="s">
        <v>1736</v>
      </c>
      <c r="C144" s="143" t="s">
        <v>86</v>
      </c>
      <c r="D144" s="144">
        <v>2</v>
      </c>
      <c r="E144" s="145"/>
      <c r="F144" s="158">
        <f>D144*E144</f>
        <v>0</v>
      </c>
      <c r="G144" s="699"/>
    </row>
    <row r="145" spans="1:7" s="148" customFormat="1" ht="34.799999999999997" x14ac:dyDescent="0.2">
      <c r="A145" s="149" t="s">
        <v>792</v>
      </c>
      <c r="B145" s="142" t="s">
        <v>1737</v>
      </c>
      <c r="C145" s="143" t="s">
        <v>10</v>
      </c>
      <c r="D145" s="144">
        <v>3</v>
      </c>
      <c r="E145" s="145"/>
      <c r="F145" s="158">
        <f>D145*E145</f>
        <v>0</v>
      </c>
      <c r="G145" s="698"/>
    </row>
    <row r="146" spans="1:7" s="148" customFormat="1" ht="137.4" x14ac:dyDescent="0.2">
      <c r="A146" s="149" t="s">
        <v>793</v>
      </c>
      <c r="B146" s="142" t="s">
        <v>1738</v>
      </c>
      <c r="C146" s="143" t="s">
        <v>86</v>
      </c>
      <c r="D146" s="144">
        <v>1</v>
      </c>
      <c r="E146" s="145"/>
      <c r="F146" s="158">
        <f>E146*D146</f>
        <v>0</v>
      </c>
      <c r="G146" s="698"/>
    </row>
    <row r="147" spans="1:7" s="148" customFormat="1" ht="34.200000000000003" x14ac:dyDescent="0.2">
      <c r="A147" s="149" t="s">
        <v>794</v>
      </c>
      <c r="B147" s="142" t="s">
        <v>795</v>
      </c>
      <c r="C147" s="143" t="s">
        <v>10</v>
      </c>
      <c r="D147" s="144">
        <v>70</v>
      </c>
      <c r="E147" s="145"/>
      <c r="F147" s="158">
        <f>D147*E147</f>
        <v>0</v>
      </c>
    </row>
    <row r="148" spans="1:7" s="148" customFormat="1" ht="34.200000000000003" x14ac:dyDescent="0.2">
      <c r="A148" s="149" t="s">
        <v>796</v>
      </c>
      <c r="B148" s="142" t="s">
        <v>797</v>
      </c>
      <c r="C148" s="143"/>
      <c r="D148" s="144"/>
      <c r="E148" s="145"/>
      <c r="F148" s="158"/>
    </row>
    <row r="149" spans="1:7" s="157" customFormat="1" ht="11.4" x14ac:dyDescent="0.2">
      <c r="A149" s="149" t="s">
        <v>798</v>
      </c>
      <c r="B149" s="142" t="s">
        <v>799</v>
      </c>
      <c r="C149" s="143" t="s">
        <v>632</v>
      </c>
      <c r="D149" s="144">
        <v>1200</v>
      </c>
      <c r="E149" s="145"/>
      <c r="F149" s="158">
        <f t="shared" ref="F149:F166" si="7">D149*E149</f>
        <v>0</v>
      </c>
    </row>
    <row r="150" spans="1:7" s="157" customFormat="1" ht="11.4" x14ac:dyDescent="0.2">
      <c r="A150" s="149" t="s">
        <v>800</v>
      </c>
      <c r="B150" s="142" t="s">
        <v>801</v>
      </c>
      <c r="C150" s="143" t="s">
        <v>632</v>
      </c>
      <c r="D150" s="144">
        <v>1550</v>
      </c>
      <c r="E150" s="145"/>
      <c r="F150" s="158">
        <f t="shared" si="7"/>
        <v>0</v>
      </c>
    </row>
    <row r="151" spans="1:7" s="157" customFormat="1" ht="11.4" x14ac:dyDescent="0.2">
      <c r="A151" s="149" t="s">
        <v>802</v>
      </c>
      <c r="B151" s="142" t="s">
        <v>803</v>
      </c>
      <c r="C151" s="143" t="s">
        <v>632</v>
      </c>
      <c r="D151" s="144">
        <v>12</v>
      </c>
      <c r="E151" s="145"/>
      <c r="F151" s="158">
        <f t="shared" si="7"/>
        <v>0</v>
      </c>
    </row>
    <row r="152" spans="1:7" s="148" customFormat="1" ht="11.4" x14ac:dyDescent="0.2">
      <c r="A152" s="149" t="s">
        <v>804</v>
      </c>
      <c r="B152" s="142" t="s">
        <v>805</v>
      </c>
      <c r="C152" s="143" t="s">
        <v>632</v>
      </c>
      <c r="D152" s="144">
        <v>50</v>
      </c>
      <c r="E152" s="145"/>
      <c r="F152" s="158">
        <f t="shared" si="7"/>
        <v>0</v>
      </c>
    </row>
    <row r="153" spans="1:7" s="148" customFormat="1" ht="11.4" x14ac:dyDescent="0.2">
      <c r="A153" s="149" t="s">
        <v>806</v>
      </c>
      <c r="B153" s="142" t="s">
        <v>807</v>
      </c>
      <c r="C153" s="143" t="s">
        <v>632</v>
      </c>
      <c r="D153" s="144">
        <v>125</v>
      </c>
      <c r="E153" s="145"/>
      <c r="F153" s="158">
        <f t="shared" si="7"/>
        <v>0</v>
      </c>
    </row>
    <row r="154" spans="1:7" s="148" customFormat="1" ht="11.4" x14ac:dyDescent="0.2">
      <c r="A154" s="149" t="s">
        <v>808</v>
      </c>
      <c r="B154" s="142" t="s">
        <v>809</v>
      </c>
      <c r="C154" s="143" t="s">
        <v>632</v>
      </c>
      <c r="D154" s="144">
        <v>55</v>
      </c>
      <c r="E154" s="145"/>
      <c r="F154" s="158">
        <f t="shared" si="7"/>
        <v>0</v>
      </c>
    </row>
    <row r="155" spans="1:7" s="157" customFormat="1" ht="11.4" x14ac:dyDescent="0.2">
      <c r="A155" s="149" t="s">
        <v>810</v>
      </c>
      <c r="B155" s="142" t="s">
        <v>811</v>
      </c>
      <c r="C155" s="143" t="s">
        <v>632</v>
      </c>
      <c r="D155" s="144">
        <v>35</v>
      </c>
      <c r="E155" s="145"/>
      <c r="F155" s="158">
        <f t="shared" si="7"/>
        <v>0</v>
      </c>
    </row>
    <row r="156" spans="1:7" s="157" customFormat="1" ht="11.4" x14ac:dyDescent="0.2">
      <c r="A156" s="149" t="s">
        <v>812</v>
      </c>
      <c r="B156" s="142" t="s">
        <v>813</v>
      </c>
      <c r="C156" s="143" t="s">
        <v>632</v>
      </c>
      <c r="D156" s="144">
        <v>30</v>
      </c>
      <c r="E156" s="145"/>
      <c r="F156" s="158">
        <f t="shared" si="7"/>
        <v>0</v>
      </c>
    </row>
    <row r="157" spans="1:7" s="157" customFormat="1" ht="11.4" x14ac:dyDescent="0.2">
      <c r="A157" s="149" t="s">
        <v>814</v>
      </c>
      <c r="B157" s="142" t="s">
        <v>815</v>
      </c>
      <c r="C157" s="143" t="s">
        <v>632</v>
      </c>
      <c r="D157" s="144">
        <v>30</v>
      </c>
      <c r="E157" s="145"/>
      <c r="F157" s="158">
        <f t="shared" si="7"/>
        <v>0</v>
      </c>
    </row>
    <row r="158" spans="1:7" s="148" customFormat="1" ht="11.4" x14ac:dyDescent="0.2">
      <c r="A158" s="149" t="s">
        <v>816</v>
      </c>
      <c r="B158" s="142" t="s">
        <v>817</v>
      </c>
      <c r="C158" s="143" t="s">
        <v>632</v>
      </c>
      <c r="D158" s="144">
        <v>5</v>
      </c>
      <c r="E158" s="145"/>
      <c r="F158" s="158">
        <f t="shared" si="7"/>
        <v>0</v>
      </c>
    </row>
    <row r="159" spans="1:7" s="148" customFormat="1" ht="11.4" x14ac:dyDescent="0.2">
      <c r="A159" s="149" t="s">
        <v>818</v>
      </c>
      <c r="B159" s="142" t="s">
        <v>819</v>
      </c>
      <c r="C159" s="143" t="s">
        <v>632</v>
      </c>
      <c r="D159" s="144">
        <v>35</v>
      </c>
      <c r="E159" s="145"/>
      <c r="F159" s="158">
        <f t="shared" si="7"/>
        <v>0</v>
      </c>
    </row>
    <row r="160" spans="1:7" s="148" customFormat="1" ht="11.4" x14ac:dyDescent="0.2">
      <c r="A160" s="149" t="s">
        <v>820</v>
      </c>
      <c r="B160" s="142" t="s">
        <v>821</v>
      </c>
      <c r="C160" s="143" t="s">
        <v>632</v>
      </c>
      <c r="D160" s="144">
        <v>1300</v>
      </c>
      <c r="E160" s="145"/>
      <c r="F160" s="158">
        <f t="shared" si="7"/>
        <v>0</v>
      </c>
    </row>
    <row r="161" spans="1:6" s="148" customFormat="1" ht="11.4" x14ac:dyDescent="0.2">
      <c r="A161" s="149" t="s">
        <v>822</v>
      </c>
      <c r="B161" s="142" t="s">
        <v>823</v>
      </c>
      <c r="C161" s="143" t="s">
        <v>632</v>
      </c>
      <c r="D161" s="144">
        <v>70</v>
      </c>
      <c r="E161" s="145"/>
      <c r="F161" s="158">
        <f t="shared" si="7"/>
        <v>0</v>
      </c>
    </row>
    <row r="162" spans="1:6" s="148" customFormat="1" ht="11.4" x14ac:dyDescent="0.2">
      <c r="A162" s="149" t="s">
        <v>824</v>
      </c>
      <c r="B162" s="142" t="s">
        <v>825</v>
      </c>
      <c r="C162" s="143" t="s">
        <v>632</v>
      </c>
      <c r="D162" s="144">
        <v>200</v>
      </c>
      <c r="E162" s="145"/>
      <c r="F162" s="158">
        <f t="shared" si="7"/>
        <v>0</v>
      </c>
    </row>
    <row r="163" spans="1:6" s="148" customFormat="1" ht="45.6" x14ac:dyDescent="0.2">
      <c r="A163" s="149" t="s">
        <v>826</v>
      </c>
      <c r="B163" s="142" t="s">
        <v>827</v>
      </c>
      <c r="C163" s="143" t="s">
        <v>86</v>
      </c>
      <c r="D163" s="144">
        <v>50</v>
      </c>
      <c r="E163" s="145"/>
      <c r="F163" s="158">
        <f t="shared" si="7"/>
        <v>0</v>
      </c>
    </row>
    <row r="164" spans="1:6" s="148" customFormat="1" ht="22.8" x14ac:dyDescent="0.2">
      <c r="A164" s="149" t="s">
        <v>828</v>
      </c>
      <c r="B164" s="142" t="s">
        <v>829</v>
      </c>
      <c r="C164" s="143" t="s">
        <v>10</v>
      </c>
      <c r="D164" s="144">
        <v>20</v>
      </c>
      <c r="E164" s="145"/>
      <c r="F164" s="158">
        <f t="shared" si="7"/>
        <v>0</v>
      </c>
    </row>
    <row r="165" spans="1:6" s="148" customFormat="1" ht="22.8" x14ac:dyDescent="0.2">
      <c r="A165" s="149" t="s">
        <v>830</v>
      </c>
      <c r="B165" s="142" t="s">
        <v>831</v>
      </c>
      <c r="C165" s="143" t="s">
        <v>10</v>
      </c>
      <c r="D165" s="144">
        <v>15</v>
      </c>
      <c r="E165" s="145"/>
      <c r="F165" s="158">
        <f t="shared" si="7"/>
        <v>0</v>
      </c>
    </row>
    <row r="166" spans="1:6" x14ac:dyDescent="0.25">
      <c r="A166" s="149" t="s">
        <v>832</v>
      </c>
      <c r="B166" s="142" t="s">
        <v>682</v>
      </c>
      <c r="C166" s="143" t="s">
        <v>10</v>
      </c>
      <c r="D166" s="144">
        <v>1</v>
      </c>
      <c r="E166" s="223"/>
      <c r="F166" s="146">
        <f t="shared" si="7"/>
        <v>0</v>
      </c>
    </row>
    <row r="167" spans="1:6" s="157" customFormat="1" ht="12" x14ac:dyDescent="0.2">
      <c r="A167" s="150"/>
      <c r="B167" s="151" t="s">
        <v>833</v>
      </c>
      <c r="C167" s="152"/>
      <c r="D167" s="153"/>
      <c r="E167" s="154"/>
      <c r="F167" s="155">
        <f>SUM(F121:F166)</f>
        <v>0</v>
      </c>
    </row>
    <row r="168" spans="1:6" s="140" customFormat="1" ht="41.4" x14ac:dyDescent="0.25">
      <c r="A168" s="135" t="s">
        <v>834</v>
      </c>
      <c r="B168" s="136" t="s">
        <v>835</v>
      </c>
      <c r="C168" s="137"/>
      <c r="D168" s="138"/>
      <c r="E168" s="137"/>
      <c r="F168" s="139"/>
    </row>
    <row r="169" spans="1:6" ht="102.6" x14ac:dyDescent="0.25">
      <c r="A169" s="141" t="s">
        <v>34</v>
      </c>
      <c r="B169" s="142" t="s">
        <v>1581</v>
      </c>
      <c r="C169" s="143" t="s">
        <v>86</v>
      </c>
      <c r="D169" s="144">
        <v>1</v>
      </c>
      <c r="E169" s="223"/>
      <c r="F169" s="146">
        <f t="shared" ref="F169:F176" si="8">D169*E169</f>
        <v>0</v>
      </c>
    </row>
    <row r="170" spans="1:6" x14ac:dyDescent="0.25">
      <c r="A170" s="149" t="s">
        <v>836</v>
      </c>
      <c r="B170" s="142" t="s">
        <v>837</v>
      </c>
      <c r="C170" s="143" t="s">
        <v>86</v>
      </c>
      <c r="D170" s="144">
        <v>3</v>
      </c>
      <c r="E170" s="223"/>
      <c r="F170" s="146">
        <f t="shared" si="8"/>
        <v>0</v>
      </c>
    </row>
    <row r="171" spans="1:6" x14ac:dyDescent="0.25">
      <c r="A171" s="149" t="s">
        <v>838</v>
      </c>
      <c r="B171" s="142" t="s">
        <v>839</v>
      </c>
      <c r="C171" s="143" t="s">
        <v>10</v>
      </c>
      <c r="D171" s="144">
        <v>1</v>
      </c>
      <c r="E171" s="223"/>
      <c r="F171" s="146">
        <f t="shared" si="8"/>
        <v>0</v>
      </c>
    </row>
    <row r="172" spans="1:6" x14ac:dyDescent="0.25">
      <c r="A172" s="149" t="s">
        <v>840</v>
      </c>
      <c r="B172" s="142" t="s">
        <v>841</v>
      </c>
      <c r="C172" s="143" t="s">
        <v>86</v>
      </c>
      <c r="D172" s="144">
        <v>10</v>
      </c>
      <c r="E172" s="223"/>
      <c r="F172" s="146">
        <f t="shared" si="8"/>
        <v>0</v>
      </c>
    </row>
    <row r="173" spans="1:6" x14ac:dyDescent="0.25">
      <c r="A173" s="149" t="s">
        <v>842</v>
      </c>
      <c r="B173" s="142" t="s">
        <v>843</v>
      </c>
      <c r="C173" s="143" t="s">
        <v>86</v>
      </c>
      <c r="D173" s="144">
        <v>30</v>
      </c>
      <c r="E173" s="223"/>
      <c r="F173" s="146">
        <f t="shared" si="8"/>
        <v>0</v>
      </c>
    </row>
    <row r="174" spans="1:6" x14ac:dyDescent="0.25">
      <c r="A174" s="149" t="s">
        <v>844</v>
      </c>
      <c r="B174" s="142" t="s">
        <v>845</v>
      </c>
      <c r="C174" s="143" t="s">
        <v>86</v>
      </c>
      <c r="D174" s="144">
        <v>5</v>
      </c>
      <c r="E174" s="223"/>
      <c r="F174" s="146">
        <f t="shared" si="8"/>
        <v>0</v>
      </c>
    </row>
    <row r="175" spans="1:6" ht="22.8" x14ac:dyDescent="0.25">
      <c r="A175" s="149" t="s">
        <v>846</v>
      </c>
      <c r="B175" s="142" t="s">
        <v>847</v>
      </c>
      <c r="C175" s="143" t="s">
        <v>10</v>
      </c>
      <c r="D175" s="144">
        <v>1</v>
      </c>
      <c r="E175" s="223"/>
      <c r="F175" s="146">
        <f t="shared" si="8"/>
        <v>0</v>
      </c>
    </row>
    <row r="176" spans="1:6" x14ac:dyDescent="0.25">
      <c r="A176" s="149" t="s">
        <v>848</v>
      </c>
      <c r="B176" s="142" t="s">
        <v>849</v>
      </c>
      <c r="C176" s="143" t="s">
        <v>10</v>
      </c>
      <c r="D176" s="144">
        <v>1</v>
      </c>
      <c r="E176" s="223"/>
      <c r="F176" s="146">
        <f t="shared" si="8"/>
        <v>0</v>
      </c>
    </row>
    <row r="177" spans="1:7" s="148" customFormat="1" ht="45.6" x14ac:dyDescent="0.2">
      <c r="A177" s="141" t="s">
        <v>35</v>
      </c>
      <c r="B177" s="142" t="s">
        <v>850</v>
      </c>
      <c r="C177" s="143"/>
      <c r="D177" s="144"/>
      <c r="E177" s="145"/>
      <c r="F177" s="158"/>
    </row>
    <row r="178" spans="1:7" s="148" customFormat="1" x14ac:dyDescent="0.2">
      <c r="A178" s="149" t="s">
        <v>851</v>
      </c>
      <c r="B178" s="142" t="s">
        <v>852</v>
      </c>
      <c r="C178" s="143" t="s">
        <v>632</v>
      </c>
      <c r="D178" s="144">
        <v>220</v>
      </c>
      <c r="E178" s="145"/>
      <c r="F178" s="146">
        <f t="shared" ref="F178:F184" si="9">D178*E178</f>
        <v>0</v>
      </c>
    </row>
    <row r="179" spans="1:7" s="148" customFormat="1" x14ac:dyDescent="0.2">
      <c r="A179" s="149" t="s">
        <v>853</v>
      </c>
      <c r="B179" s="142" t="s">
        <v>854</v>
      </c>
      <c r="C179" s="143" t="s">
        <v>632</v>
      </c>
      <c r="D179" s="144">
        <v>85</v>
      </c>
      <c r="E179" s="145"/>
      <c r="F179" s="146">
        <f>D179*E179</f>
        <v>0</v>
      </c>
    </row>
    <row r="180" spans="1:7" s="148" customFormat="1" x14ac:dyDescent="0.2">
      <c r="A180" s="149" t="s">
        <v>855</v>
      </c>
      <c r="B180" s="142" t="s">
        <v>856</v>
      </c>
      <c r="C180" s="143" t="s">
        <v>632</v>
      </c>
      <c r="D180" s="144">
        <v>20</v>
      </c>
      <c r="E180" s="145"/>
      <c r="F180" s="146">
        <f t="shared" si="9"/>
        <v>0</v>
      </c>
    </row>
    <row r="181" spans="1:7" s="148" customFormat="1" ht="45.6" x14ac:dyDescent="0.2">
      <c r="A181" s="149" t="s">
        <v>857</v>
      </c>
      <c r="B181" s="142" t="s">
        <v>858</v>
      </c>
      <c r="C181" s="143"/>
      <c r="D181" s="144"/>
      <c r="E181" s="145"/>
      <c r="F181" s="146"/>
    </row>
    <row r="182" spans="1:7" s="148" customFormat="1" ht="34.200000000000003" x14ac:dyDescent="0.2">
      <c r="A182" s="149" t="s">
        <v>859</v>
      </c>
      <c r="B182" s="142" t="s">
        <v>1795</v>
      </c>
      <c r="C182" s="143" t="s">
        <v>632</v>
      </c>
      <c r="D182" s="144">
        <v>1950</v>
      </c>
      <c r="E182" s="145"/>
      <c r="F182" s="146">
        <f t="shared" si="9"/>
        <v>0</v>
      </c>
    </row>
    <row r="183" spans="1:7" s="157" customFormat="1" ht="79.8" x14ac:dyDescent="0.2">
      <c r="A183" s="149" t="s">
        <v>860</v>
      </c>
      <c r="B183" s="142" t="s">
        <v>1599</v>
      </c>
      <c r="C183" s="143" t="s">
        <v>10</v>
      </c>
      <c r="D183" s="144">
        <v>2</v>
      </c>
      <c r="E183" s="145"/>
      <c r="F183" s="146">
        <f t="shared" si="9"/>
        <v>0</v>
      </c>
      <c r="G183" s="704"/>
    </row>
    <row r="184" spans="1:7" x14ac:dyDescent="0.25">
      <c r="A184" s="141" t="s">
        <v>251</v>
      </c>
      <c r="B184" s="142" t="s">
        <v>687</v>
      </c>
      <c r="C184" s="143" t="s">
        <v>10</v>
      </c>
      <c r="D184" s="144">
        <v>1</v>
      </c>
      <c r="E184" s="223"/>
      <c r="F184" s="146">
        <f t="shared" si="9"/>
        <v>0</v>
      </c>
    </row>
    <row r="185" spans="1:7" s="148" customFormat="1" ht="12" x14ac:dyDescent="0.2">
      <c r="A185" s="141"/>
      <c r="B185" s="151" t="s">
        <v>861</v>
      </c>
      <c r="C185" s="143"/>
      <c r="D185" s="144"/>
      <c r="E185" s="145"/>
      <c r="F185" s="158">
        <f>SUM(F169:F184)</f>
        <v>0</v>
      </c>
    </row>
    <row r="186" spans="1:7" s="140" customFormat="1" ht="13.8" x14ac:dyDescent="0.25">
      <c r="A186" s="135" t="s">
        <v>862</v>
      </c>
      <c r="B186" s="136" t="s">
        <v>863</v>
      </c>
      <c r="C186" s="137"/>
      <c r="D186" s="138"/>
      <c r="E186" s="137"/>
      <c r="F186" s="139"/>
    </row>
    <row r="187" spans="1:7" s="148" customFormat="1" ht="45.6" x14ac:dyDescent="0.2">
      <c r="A187" s="149" t="s">
        <v>36</v>
      </c>
      <c r="B187" s="142" t="s">
        <v>864</v>
      </c>
      <c r="C187" s="143"/>
      <c r="D187" s="144"/>
      <c r="E187" s="145"/>
      <c r="F187" s="146"/>
    </row>
    <row r="188" spans="1:7" s="148" customFormat="1" ht="22.8" x14ac:dyDescent="0.2">
      <c r="A188" s="149" t="s">
        <v>865</v>
      </c>
      <c r="B188" s="142" t="s">
        <v>1796</v>
      </c>
      <c r="C188" s="143"/>
      <c r="D188" s="144"/>
      <c r="E188" s="145"/>
      <c r="F188" s="158"/>
      <c r="G188" s="698"/>
    </row>
    <row r="189" spans="1:7" s="148" customFormat="1" ht="34.200000000000003" x14ac:dyDescent="0.2">
      <c r="A189" s="149"/>
      <c r="B189" s="142" t="s">
        <v>866</v>
      </c>
      <c r="C189" s="143"/>
      <c r="D189" s="144"/>
      <c r="E189" s="145"/>
      <c r="F189" s="158"/>
    </row>
    <row r="190" spans="1:7" s="148" customFormat="1" ht="23.4" x14ac:dyDescent="0.2">
      <c r="A190" s="149"/>
      <c r="B190" s="142" t="s">
        <v>1739</v>
      </c>
      <c r="C190" s="143" t="s">
        <v>867</v>
      </c>
      <c r="D190" s="144">
        <v>1</v>
      </c>
      <c r="E190" s="145"/>
      <c r="F190" s="158">
        <f>E190*D190</f>
        <v>0</v>
      </c>
      <c r="G190" s="698"/>
    </row>
    <row r="191" spans="1:7" s="148" customFormat="1" ht="11.4" x14ac:dyDescent="0.2">
      <c r="A191" s="149" t="s">
        <v>868</v>
      </c>
      <c r="B191" s="142" t="s">
        <v>869</v>
      </c>
      <c r="C191" s="143"/>
      <c r="D191" s="144"/>
      <c r="E191" s="145"/>
      <c r="F191" s="158"/>
    </row>
    <row r="192" spans="1:7" s="148" customFormat="1" ht="11.4" x14ac:dyDescent="0.2">
      <c r="A192" s="149"/>
      <c r="B192" s="142" t="s">
        <v>870</v>
      </c>
      <c r="C192" s="143"/>
      <c r="D192" s="144"/>
      <c r="E192" s="145"/>
      <c r="F192" s="158"/>
    </row>
    <row r="193" spans="1:7" s="148" customFormat="1" ht="23.4" x14ac:dyDescent="0.2">
      <c r="A193" s="149"/>
      <c r="B193" s="142" t="s">
        <v>1740</v>
      </c>
      <c r="C193" s="143" t="s">
        <v>867</v>
      </c>
      <c r="D193" s="144">
        <v>1</v>
      </c>
      <c r="E193" s="145"/>
      <c r="F193" s="158">
        <f>E193*D193</f>
        <v>0</v>
      </c>
      <c r="G193" s="698"/>
    </row>
    <row r="194" spans="1:7" s="148" customFormat="1" ht="11.4" x14ac:dyDescent="0.2">
      <c r="A194" s="149" t="s">
        <v>871</v>
      </c>
      <c r="B194" s="142" t="s">
        <v>872</v>
      </c>
      <c r="C194" s="143"/>
      <c r="D194" s="144"/>
      <c r="E194" s="145"/>
      <c r="F194" s="158"/>
    </row>
    <row r="195" spans="1:7" s="148" customFormat="1" ht="22.8" x14ac:dyDescent="0.2">
      <c r="A195" s="149"/>
      <c r="B195" s="142" t="s">
        <v>873</v>
      </c>
      <c r="C195" s="143"/>
      <c r="D195" s="144"/>
      <c r="E195" s="145"/>
      <c r="F195" s="158"/>
    </row>
    <row r="196" spans="1:7" s="148" customFormat="1" ht="23.4" x14ac:dyDescent="0.2">
      <c r="A196" s="149"/>
      <c r="B196" s="142" t="s">
        <v>1741</v>
      </c>
      <c r="C196" s="143" t="s">
        <v>867</v>
      </c>
      <c r="D196" s="144">
        <v>6</v>
      </c>
      <c r="E196" s="145"/>
      <c r="F196" s="158">
        <f>E196*D196</f>
        <v>0</v>
      </c>
      <c r="G196" s="698"/>
    </row>
    <row r="197" spans="1:7" s="148" customFormat="1" ht="11.4" x14ac:dyDescent="0.2">
      <c r="A197" s="149" t="s">
        <v>874</v>
      </c>
      <c r="B197" s="142" t="s">
        <v>875</v>
      </c>
      <c r="C197" s="143"/>
      <c r="D197" s="144"/>
      <c r="E197" s="145"/>
      <c r="F197" s="158"/>
    </row>
    <row r="198" spans="1:7" s="148" customFormat="1" ht="11.4" x14ac:dyDescent="0.2">
      <c r="A198" s="149"/>
      <c r="B198" s="142" t="s">
        <v>876</v>
      </c>
      <c r="C198" s="143"/>
      <c r="D198" s="144"/>
      <c r="E198" s="145"/>
      <c r="F198" s="158"/>
    </row>
    <row r="199" spans="1:7" s="148" customFormat="1" ht="23.4" x14ac:dyDescent="0.2">
      <c r="A199" s="149"/>
      <c r="B199" s="142" t="s">
        <v>1742</v>
      </c>
      <c r="C199" s="143" t="s">
        <v>867</v>
      </c>
      <c r="D199" s="144">
        <v>7</v>
      </c>
      <c r="E199" s="145"/>
      <c r="F199" s="158">
        <f>E199*D199</f>
        <v>0</v>
      </c>
      <c r="G199" s="698"/>
    </row>
    <row r="200" spans="1:7" s="148" customFormat="1" ht="11.4" x14ac:dyDescent="0.2">
      <c r="A200" s="149" t="s">
        <v>877</v>
      </c>
      <c r="B200" s="142" t="s">
        <v>878</v>
      </c>
      <c r="C200" s="143"/>
      <c r="D200" s="144"/>
      <c r="E200" s="145"/>
      <c r="F200" s="158"/>
    </row>
    <row r="201" spans="1:7" s="148" customFormat="1" ht="11.4" x14ac:dyDescent="0.2">
      <c r="A201" s="149"/>
      <c r="B201" s="142" t="s">
        <v>879</v>
      </c>
      <c r="C201" s="143"/>
      <c r="D201" s="144"/>
      <c r="E201" s="145"/>
      <c r="F201" s="158"/>
    </row>
    <row r="202" spans="1:7" s="148" customFormat="1" ht="24" x14ac:dyDescent="0.2">
      <c r="A202" s="149"/>
      <c r="B202" s="142" t="s">
        <v>1743</v>
      </c>
      <c r="C202" s="143" t="s">
        <v>867</v>
      </c>
      <c r="D202" s="144">
        <v>1</v>
      </c>
      <c r="E202" s="145"/>
      <c r="F202" s="158">
        <f>E202*D202</f>
        <v>0</v>
      </c>
      <c r="G202" s="698"/>
    </row>
    <row r="203" spans="1:7" s="148" customFormat="1" ht="11.4" x14ac:dyDescent="0.2">
      <c r="A203" s="149" t="s">
        <v>880</v>
      </c>
      <c r="B203" s="142" t="s">
        <v>881</v>
      </c>
      <c r="C203" s="143"/>
      <c r="D203" s="144"/>
      <c r="E203" s="145"/>
      <c r="F203" s="158"/>
    </row>
    <row r="204" spans="1:7" s="148" customFormat="1" ht="11.4" x14ac:dyDescent="0.2">
      <c r="A204" s="149"/>
      <c r="B204" s="142" t="s">
        <v>882</v>
      </c>
      <c r="C204" s="143"/>
      <c r="D204" s="144"/>
      <c r="E204" s="145"/>
      <c r="F204" s="158"/>
    </row>
    <row r="205" spans="1:7" s="148" customFormat="1" ht="11.4" x14ac:dyDescent="0.2">
      <c r="A205" s="149"/>
      <c r="B205" s="142" t="s">
        <v>883</v>
      </c>
      <c r="C205" s="143" t="s">
        <v>632</v>
      </c>
      <c r="D205" s="144">
        <v>300</v>
      </c>
      <c r="E205" s="145"/>
      <c r="F205" s="158">
        <f>E205*D205</f>
        <v>0</v>
      </c>
    </row>
    <row r="206" spans="1:7" s="148" customFormat="1" ht="11.4" x14ac:dyDescent="0.2">
      <c r="A206" s="149" t="s">
        <v>884</v>
      </c>
      <c r="B206" s="142" t="s">
        <v>885</v>
      </c>
      <c r="C206" s="143"/>
      <c r="D206" s="144"/>
      <c r="E206" s="145"/>
      <c r="F206" s="158"/>
    </row>
    <row r="207" spans="1:7" s="148" customFormat="1" ht="11.4" x14ac:dyDescent="0.2">
      <c r="A207" s="149"/>
      <c r="B207" s="142" t="s">
        <v>886</v>
      </c>
      <c r="C207" s="143"/>
      <c r="D207" s="144"/>
      <c r="E207" s="145"/>
      <c r="F207" s="158"/>
    </row>
    <row r="208" spans="1:7" s="148" customFormat="1" ht="11.4" x14ac:dyDescent="0.2">
      <c r="A208" s="149"/>
      <c r="B208" s="142" t="s">
        <v>887</v>
      </c>
      <c r="C208" s="143" t="s">
        <v>632</v>
      </c>
      <c r="D208" s="144">
        <v>150</v>
      </c>
      <c r="E208" s="145"/>
      <c r="F208" s="158">
        <f>E208*D208</f>
        <v>0</v>
      </c>
    </row>
    <row r="209" spans="1:7" s="148" customFormat="1" ht="11.4" x14ac:dyDescent="0.2">
      <c r="A209" s="149" t="s">
        <v>888</v>
      </c>
      <c r="B209" s="142" t="s">
        <v>889</v>
      </c>
      <c r="C209" s="143"/>
      <c r="D209" s="144"/>
      <c r="E209" s="145"/>
      <c r="F209" s="158"/>
    </row>
    <row r="210" spans="1:7" s="148" customFormat="1" ht="11.4" x14ac:dyDescent="0.2">
      <c r="A210" s="149"/>
      <c r="B210" s="142" t="s">
        <v>890</v>
      </c>
      <c r="C210" s="143"/>
      <c r="D210" s="144"/>
      <c r="E210" s="145"/>
      <c r="F210" s="158"/>
    </row>
    <row r="211" spans="1:7" s="148" customFormat="1" ht="11.4" x14ac:dyDescent="0.2">
      <c r="A211" s="149"/>
      <c r="B211" s="142" t="s">
        <v>891</v>
      </c>
      <c r="C211" s="143" t="s">
        <v>632</v>
      </c>
      <c r="D211" s="144">
        <v>100</v>
      </c>
      <c r="E211" s="145"/>
      <c r="F211" s="158">
        <f t="shared" ref="F211:F217" si="10">E211*D211</f>
        <v>0</v>
      </c>
    </row>
    <row r="212" spans="1:7" s="148" customFormat="1" ht="11.4" x14ac:dyDescent="0.2">
      <c r="A212" s="149" t="s">
        <v>892</v>
      </c>
      <c r="B212" s="142" t="s">
        <v>889</v>
      </c>
      <c r="C212" s="143"/>
      <c r="D212" s="144"/>
      <c r="E212" s="145"/>
      <c r="F212" s="158"/>
    </row>
    <row r="213" spans="1:7" s="148" customFormat="1" ht="11.4" x14ac:dyDescent="0.2">
      <c r="A213" s="149"/>
      <c r="B213" s="142" t="s">
        <v>893</v>
      </c>
      <c r="C213" s="143"/>
      <c r="D213" s="144"/>
      <c r="E213" s="145"/>
      <c r="F213" s="158"/>
    </row>
    <row r="214" spans="1:7" s="148" customFormat="1" ht="11.4" x14ac:dyDescent="0.2">
      <c r="A214" s="149"/>
      <c r="B214" s="142" t="s">
        <v>894</v>
      </c>
      <c r="C214" s="143" t="s">
        <v>632</v>
      </c>
      <c r="D214" s="144">
        <v>150</v>
      </c>
      <c r="E214" s="145"/>
      <c r="F214" s="158">
        <f t="shared" si="10"/>
        <v>0</v>
      </c>
    </row>
    <row r="215" spans="1:7" s="148" customFormat="1" ht="11.4" x14ac:dyDescent="0.2">
      <c r="A215" s="149" t="s">
        <v>895</v>
      </c>
      <c r="B215" s="142" t="s">
        <v>896</v>
      </c>
      <c r="C215" s="143"/>
      <c r="D215" s="144"/>
      <c r="E215" s="145"/>
      <c r="F215" s="158"/>
    </row>
    <row r="216" spans="1:7" s="148" customFormat="1" ht="11.4" x14ac:dyDescent="0.2">
      <c r="A216" s="149"/>
      <c r="B216" s="142" t="s">
        <v>897</v>
      </c>
      <c r="C216" s="143" t="s">
        <v>867</v>
      </c>
      <c r="D216" s="144">
        <v>20</v>
      </c>
      <c r="E216" s="145"/>
      <c r="F216" s="158">
        <f t="shared" si="10"/>
        <v>0</v>
      </c>
    </row>
    <row r="217" spans="1:7" s="148" customFormat="1" ht="11.4" x14ac:dyDescent="0.2">
      <c r="A217" s="149" t="s">
        <v>898</v>
      </c>
      <c r="B217" s="142" t="s">
        <v>899</v>
      </c>
      <c r="C217" s="143" t="s">
        <v>10</v>
      </c>
      <c r="D217" s="144">
        <v>1</v>
      </c>
      <c r="E217" s="145"/>
      <c r="F217" s="158">
        <f t="shared" si="10"/>
        <v>0</v>
      </c>
    </row>
    <row r="218" spans="1:7" s="148" customFormat="1" x14ac:dyDescent="0.2">
      <c r="A218" s="141"/>
      <c r="B218" s="151" t="s">
        <v>900</v>
      </c>
      <c r="C218" s="143"/>
      <c r="D218" s="144"/>
      <c r="E218" s="145"/>
      <c r="F218" s="161">
        <f>SUM(F188:F217)</f>
        <v>0</v>
      </c>
    </row>
    <row r="219" spans="1:7" s="140" customFormat="1" ht="13.8" x14ac:dyDescent="0.25">
      <c r="A219" s="135" t="s">
        <v>901</v>
      </c>
      <c r="B219" s="136" t="s">
        <v>902</v>
      </c>
      <c r="C219" s="137"/>
      <c r="D219" s="138"/>
      <c r="E219" s="137"/>
      <c r="F219" s="139"/>
    </row>
    <row r="220" spans="1:7" s="148" customFormat="1" ht="45.6" x14ac:dyDescent="0.2">
      <c r="A220" s="149" t="s">
        <v>79</v>
      </c>
      <c r="B220" s="142" t="s">
        <v>903</v>
      </c>
      <c r="C220" s="143"/>
      <c r="D220" s="144"/>
      <c r="E220" s="145"/>
      <c r="F220" s="158"/>
    </row>
    <row r="221" spans="1:7" s="148" customFormat="1" ht="11.4" x14ac:dyDescent="0.2">
      <c r="A221" s="149" t="s">
        <v>904</v>
      </c>
      <c r="B221" s="142" t="s">
        <v>905</v>
      </c>
      <c r="C221" s="143"/>
      <c r="D221" s="144"/>
      <c r="E221" s="145"/>
      <c r="F221" s="158"/>
    </row>
    <row r="222" spans="1:7" s="148" customFormat="1" ht="22.8" x14ac:dyDescent="0.2">
      <c r="A222" s="149"/>
      <c r="B222" s="142" t="s">
        <v>906</v>
      </c>
      <c r="C222" s="143"/>
      <c r="D222" s="144"/>
      <c r="E222" s="145"/>
      <c r="F222" s="158"/>
    </row>
    <row r="223" spans="1:7" s="148" customFormat="1" ht="23.4" x14ac:dyDescent="0.2">
      <c r="A223" s="149"/>
      <c r="B223" s="142" t="s">
        <v>1744</v>
      </c>
      <c r="C223" s="143" t="s">
        <v>867</v>
      </c>
      <c r="D223" s="144">
        <v>2</v>
      </c>
      <c r="E223" s="145"/>
      <c r="F223" s="158">
        <f>E223*D223</f>
        <v>0</v>
      </c>
      <c r="G223" s="698"/>
    </row>
    <row r="224" spans="1:7" s="148" customFormat="1" ht="11.4" x14ac:dyDescent="0.2">
      <c r="A224" s="149" t="s">
        <v>907</v>
      </c>
      <c r="B224" s="142" t="s">
        <v>908</v>
      </c>
      <c r="C224" s="143"/>
      <c r="D224" s="144"/>
      <c r="E224" s="145"/>
      <c r="F224" s="158"/>
    </row>
    <row r="225" spans="1:7" s="148" customFormat="1" ht="11.4" x14ac:dyDescent="0.2">
      <c r="A225" s="149"/>
      <c r="B225" s="142" t="s">
        <v>909</v>
      </c>
      <c r="C225" s="143"/>
      <c r="D225" s="144"/>
      <c r="E225" s="145"/>
      <c r="F225" s="158"/>
    </row>
    <row r="226" spans="1:7" s="148" customFormat="1" ht="24" x14ac:dyDescent="0.2">
      <c r="A226" s="149"/>
      <c r="B226" s="142" t="s">
        <v>1745</v>
      </c>
      <c r="C226" s="143" t="s">
        <v>867</v>
      </c>
      <c r="D226" s="144">
        <v>2</v>
      </c>
      <c r="E226" s="145"/>
      <c r="F226" s="158">
        <f>E226*D226</f>
        <v>0</v>
      </c>
      <c r="G226" s="698"/>
    </row>
    <row r="227" spans="1:7" s="148" customFormat="1" ht="11.4" x14ac:dyDescent="0.2">
      <c r="A227" s="149" t="s">
        <v>910</v>
      </c>
      <c r="B227" s="142" t="s">
        <v>911</v>
      </c>
      <c r="C227" s="143"/>
      <c r="D227" s="144"/>
      <c r="E227" s="145"/>
      <c r="F227" s="158"/>
    </row>
    <row r="228" spans="1:7" s="148" customFormat="1" ht="11.4" x14ac:dyDescent="0.2">
      <c r="A228" s="149"/>
      <c r="B228" s="142" t="s">
        <v>912</v>
      </c>
      <c r="C228" s="143"/>
      <c r="D228" s="144"/>
      <c r="E228" s="145"/>
      <c r="F228" s="158"/>
    </row>
    <row r="229" spans="1:7" s="148" customFormat="1" ht="24" x14ac:dyDescent="0.2">
      <c r="A229" s="149"/>
      <c r="B229" s="142" t="s">
        <v>1746</v>
      </c>
      <c r="C229" s="143" t="s">
        <v>867</v>
      </c>
      <c r="D229" s="144">
        <v>2</v>
      </c>
      <c r="E229" s="145"/>
      <c r="F229" s="158">
        <f>E229*D229</f>
        <v>0</v>
      </c>
      <c r="G229" s="698"/>
    </row>
    <row r="230" spans="1:7" s="148" customFormat="1" ht="11.4" x14ac:dyDescent="0.2">
      <c r="A230" s="149" t="s">
        <v>913</v>
      </c>
      <c r="B230" s="142" t="s">
        <v>914</v>
      </c>
      <c r="C230" s="143"/>
      <c r="D230" s="144"/>
      <c r="E230" s="145"/>
      <c r="F230" s="158"/>
    </row>
    <row r="231" spans="1:7" s="148" customFormat="1" ht="11.4" x14ac:dyDescent="0.2">
      <c r="A231" s="149"/>
      <c r="B231" s="142" t="s">
        <v>915</v>
      </c>
      <c r="C231" s="143"/>
      <c r="D231" s="144"/>
      <c r="E231" s="145"/>
      <c r="F231" s="158"/>
    </row>
    <row r="232" spans="1:7" s="148" customFormat="1" ht="24" x14ac:dyDescent="0.2">
      <c r="A232" s="149"/>
      <c r="B232" s="142" t="s">
        <v>1747</v>
      </c>
      <c r="C232" s="143" t="s">
        <v>867</v>
      </c>
      <c r="D232" s="144">
        <v>1</v>
      </c>
      <c r="E232" s="145"/>
      <c r="F232" s="158">
        <f>E232*D232</f>
        <v>0</v>
      </c>
      <c r="G232" s="698"/>
    </row>
    <row r="233" spans="1:7" s="148" customFormat="1" ht="11.4" x14ac:dyDescent="0.2">
      <c r="A233" s="149" t="s">
        <v>916</v>
      </c>
      <c r="B233" s="142" t="s">
        <v>917</v>
      </c>
      <c r="C233" s="143"/>
      <c r="D233" s="144"/>
      <c r="E233" s="145"/>
      <c r="F233" s="158"/>
    </row>
    <row r="234" spans="1:7" s="148" customFormat="1" ht="22.8" x14ac:dyDescent="0.2">
      <c r="A234" s="149"/>
      <c r="B234" s="142" t="s">
        <v>918</v>
      </c>
      <c r="C234" s="143"/>
      <c r="D234" s="144"/>
      <c r="E234" s="145"/>
      <c r="F234" s="158"/>
    </row>
    <row r="235" spans="1:7" s="148" customFormat="1" ht="23.4" x14ac:dyDescent="0.2">
      <c r="A235" s="149"/>
      <c r="B235" s="142" t="s">
        <v>1748</v>
      </c>
      <c r="C235" s="143" t="s">
        <v>867</v>
      </c>
      <c r="D235" s="144">
        <v>20</v>
      </c>
      <c r="E235" s="145"/>
      <c r="F235" s="158">
        <f>E235*D235</f>
        <v>0</v>
      </c>
      <c r="G235" s="698"/>
    </row>
    <row r="236" spans="1:7" s="148" customFormat="1" ht="38.25" customHeight="1" x14ac:dyDescent="0.2">
      <c r="A236" s="149" t="s">
        <v>919</v>
      </c>
      <c r="B236" s="142" t="s">
        <v>920</v>
      </c>
      <c r="C236" s="143" t="s">
        <v>867</v>
      </c>
      <c r="D236" s="144">
        <v>1</v>
      </c>
      <c r="E236" s="145"/>
      <c r="F236" s="158">
        <f>E236*D236</f>
        <v>0</v>
      </c>
    </row>
    <row r="237" spans="1:7" s="148" customFormat="1" ht="11.4" x14ac:dyDescent="0.2">
      <c r="A237" s="149" t="s">
        <v>921</v>
      </c>
      <c r="B237" s="142" t="s">
        <v>922</v>
      </c>
      <c r="C237" s="143"/>
      <c r="D237" s="144"/>
      <c r="E237" s="145"/>
      <c r="F237" s="158"/>
    </row>
    <row r="238" spans="1:7" s="148" customFormat="1" ht="11.4" x14ac:dyDescent="0.2">
      <c r="A238" s="149"/>
      <c r="B238" s="142" t="s">
        <v>923</v>
      </c>
      <c r="C238" s="143" t="s">
        <v>632</v>
      </c>
      <c r="D238" s="144">
        <v>200</v>
      </c>
      <c r="E238" s="145"/>
      <c r="F238" s="158">
        <f>E238*D238</f>
        <v>0</v>
      </c>
    </row>
    <row r="239" spans="1:7" s="148" customFormat="1" ht="11.4" x14ac:dyDescent="0.2">
      <c r="A239" s="149"/>
      <c r="B239" s="142" t="s">
        <v>924</v>
      </c>
      <c r="C239" s="143" t="s">
        <v>632</v>
      </c>
      <c r="D239" s="144">
        <v>120</v>
      </c>
      <c r="E239" s="145"/>
      <c r="F239" s="158">
        <f>E239*D239</f>
        <v>0</v>
      </c>
    </row>
    <row r="240" spans="1:7" s="148" customFormat="1" ht="11.4" x14ac:dyDescent="0.2">
      <c r="A240" s="149"/>
      <c r="B240" s="142" t="s">
        <v>925</v>
      </c>
      <c r="C240" s="143" t="s">
        <v>632</v>
      </c>
      <c r="D240" s="144">
        <v>50</v>
      </c>
      <c r="E240" s="145"/>
      <c r="F240" s="158">
        <f>E240*D240</f>
        <v>0</v>
      </c>
    </row>
    <row r="241" spans="1:7" s="148" customFormat="1" ht="11.4" x14ac:dyDescent="0.2">
      <c r="A241" s="149" t="s">
        <v>926</v>
      </c>
      <c r="B241" s="142" t="s">
        <v>927</v>
      </c>
      <c r="C241" s="143"/>
      <c r="D241" s="144"/>
      <c r="E241" s="145"/>
      <c r="F241" s="158"/>
    </row>
    <row r="242" spans="1:7" s="148" customFormat="1" ht="11.4" x14ac:dyDescent="0.2">
      <c r="A242" s="149"/>
      <c r="B242" s="142" t="s">
        <v>928</v>
      </c>
      <c r="C242" s="143" t="s">
        <v>632</v>
      </c>
      <c r="D242" s="144">
        <v>150</v>
      </c>
      <c r="E242" s="145"/>
      <c r="F242" s="158">
        <f>E242*D242</f>
        <v>0</v>
      </c>
    </row>
    <row r="243" spans="1:7" s="148" customFormat="1" ht="38.4" customHeight="1" x14ac:dyDescent="0.2">
      <c r="A243" s="149" t="s">
        <v>929</v>
      </c>
      <c r="B243" s="142" t="s">
        <v>930</v>
      </c>
      <c r="C243" s="143" t="s">
        <v>867</v>
      </c>
      <c r="D243" s="144">
        <v>1</v>
      </c>
      <c r="E243" s="145"/>
      <c r="F243" s="158">
        <f>E243*D243</f>
        <v>0</v>
      </c>
    </row>
    <row r="244" spans="1:7" s="148" customFormat="1" ht="22.8" x14ac:dyDescent="0.2">
      <c r="A244" s="149" t="s">
        <v>931</v>
      </c>
      <c r="B244" s="142" t="s">
        <v>932</v>
      </c>
      <c r="C244" s="143" t="s">
        <v>10</v>
      </c>
      <c r="D244" s="144">
        <v>1</v>
      </c>
      <c r="E244" s="145"/>
      <c r="F244" s="158">
        <f>E244*D244</f>
        <v>0</v>
      </c>
    </row>
    <row r="245" spans="1:7" s="148" customFormat="1" ht="11.4" x14ac:dyDescent="0.2">
      <c r="A245" s="149" t="s">
        <v>933</v>
      </c>
      <c r="B245" s="142" t="s">
        <v>934</v>
      </c>
      <c r="C245" s="143" t="s">
        <v>10</v>
      </c>
      <c r="D245" s="144">
        <v>1</v>
      </c>
      <c r="E245" s="145"/>
      <c r="F245" s="158">
        <f>E245*D245</f>
        <v>0</v>
      </c>
    </row>
    <row r="246" spans="1:7" s="148" customFormat="1" ht="22.8" x14ac:dyDescent="0.2">
      <c r="A246" s="149" t="s">
        <v>935</v>
      </c>
      <c r="B246" s="142" t="s">
        <v>936</v>
      </c>
      <c r="C246" s="143" t="s">
        <v>937</v>
      </c>
      <c r="D246" s="144">
        <v>4</v>
      </c>
      <c r="E246" s="145"/>
      <c r="F246" s="158">
        <f>E246*D246</f>
        <v>0</v>
      </c>
    </row>
    <row r="247" spans="1:7" s="148" customFormat="1" x14ac:dyDescent="0.2">
      <c r="A247" s="141"/>
      <c r="B247" s="151" t="s">
        <v>938</v>
      </c>
      <c r="C247" s="143"/>
      <c r="D247" s="144"/>
      <c r="E247" s="145"/>
      <c r="F247" s="161">
        <f>SUM(F220:F246)</f>
        <v>0</v>
      </c>
    </row>
    <row r="248" spans="1:7" s="140" customFormat="1" ht="13.8" x14ac:dyDescent="0.25">
      <c r="A248" s="135" t="s">
        <v>939</v>
      </c>
      <c r="B248" s="136" t="s">
        <v>940</v>
      </c>
      <c r="C248" s="137"/>
      <c r="D248" s="138"/>
      <c r="E248" s="137"/>
      <c r="F248" s="139"/>
    </row>
    <row r="249" spans="1:7" s="148" customFormat="1" ht="22.8" x14ac:dyDescent="0.2">
      <c r="A249" s="149" t="s">
        <v>81</v>
      </c>
      <c r="B249" s="142" t="s">
        <v>941</v>
      </c>
      <c r="C249" s="143"/>
      <c r="D249" s="144"/>
      <c r="E249" s="145"/>
      <c r="F249" s="158"/>
    </row>
    <row r="250" spans="1:7" s="148" customFormat="1" ht="11.4" x14ac:dyDescent="0.2">
      <c r="A250" s="149"/>
      <c r="B250" s="224" t="s">
        <v>942</v>
      </c>
      <c r="C250" s="143"/>
      <c r="D250" s="144"/>
      <c r="E250" s="145"/>
      <c r="F250" s="158"/>
    </row>
    <row r="251" spans="1:7" s="148" customFormat="1" ht="22.8" x14ac:dyDescent="0.2">
      <c r="A251" s="149" t="s">
        <v>943</v>
      </c>
      <c r="B251" s="142" t="s">
        <v>1600</v>
      </c>
      <c r="C251" s="143" t="s">
        <v>86</v>
      </c>
      <c r="D251" s="144">
        <v>1</v>
      </c>
      <c r="E251" s="145"/>
      <c r="F251" s="158">
        <f t="shared" ref="F251:F269" si="11">E251*D251</f>
        <v>0</v>
      </c>
      <c r="G251" s="698"/>
    </row>
    <row r="252" spans="1:7" s="148" customFormat="1" ht="22.8" x14ac:dyDescent="0.2">
      <c r="A252" s="149" t="s">
        <v>944</v>
      </c>
      <c r="B252" s="142" t="s">
        <v>1601</v>
      </c>
      <c r="C252" s="143" t="s">
        <v>86</v>
      </c>
      <c r="D252" s="144">
        <v>1</v>
      </c>
      <c r="E252" s="145"/>
      <c r="F252" s="158">
        <f t="shared" si="11"/>
        <v>0</v>
      </c>
      <c r="G252" s="698"/>
    </row>
    <row r="253" spans="1:7" s="148" customFormat="1" ht="22.8" x14ac:dyDescent="0.2">
      <c r="A253" s="149" t="s">
        <v>945</v>
      </c>
      <c r="B253" s="142" t="s">
        <v>1602</v>
      </c>
      <c r="C253" s="143" t="s">
        <v>86</v>
      </c>
      <c r="D253" s="144">
        <v>1</v>
      </c>
      <c r="E253" s="145"/>
      <c r="F253" s="158">
        <f t="shared" si="11"/>
        <v>0</v>
      </c>
      <c r="G253" s="698"/>
    </row>
    <row r="254" spans="1:7" s="148" customFormat="1" ht="22.8" x14ac:dyDescent="0.2">
      <c r="A254" s="149" t="s">
        <v>946</v>
      </c>
      <c r="B254" s="142" t="s">
        <v>1603</v>
      </c>
      <c r="C254" s="143" t="s">
        <v>86</v>
      </c>
      <c r="D254" s="144">
        <v>1</v>
      </c>
      <c r="E254" s="145"/>
      <c r="F254" s="158">
        <f t="shared" si="11"/>
        <v>0</v>
      </c>
      <c r="G254" s="698"/>
    </row>
    <row r="255" spans="1:7" s="148" customFormat="1" ht="22.8" x14ac:dyDescent="0.2">
      <c r="A255" s="149" t="s">
        <v>947</v>
      </c>
      <c r="B255" s="142" t="s">
        <v>1604</v>
      </c>
      <c r="C255" s="143" t="s">
        <v>86</v>
      </c>
      <c r="D255" s="144">
        <v>1</v>
      </c>
      <c r="E255" s="145"/>
      <c r="F255" s="158">
        <f t="shared" si="11"/>
        <v>0</v>
      </c>
      <c r="G255" s="698"/>
    </row>
    <row r="256" spans="1:7" s="148" customFormat="1" ht="22.8" x14ac:dyDescent="0.2">
      <c r="A256" s="149" t="s">
        <v>948</v>
      </c>
      <c r="B256" s="142" t="s">
        <v>1605</v>
      </c>
      <c r="C256" s="143" t="s">
        <v>86</v>
      </c>
      <c r="D256" s="144">
        <v>1</v>
      </c>
      <c r="E256" s="145"/>
      <c r="F256" s="158">
        <f t="shared" si="11"/>
        <v>0</v>
      </c>
      <c r="G256" s="698"/>
    </row>
    <row r="257" spans="1:7" s="148" customFormat="1" ht="22.8" x14ac:dyDescent="0.2">
      <c r="A257" s="149" t="s">
        <v>949</v>
      </c>
      <c r="B257" s="142" t="s">
        <v>1606</v>
      </c>
      <c r="C257" s="143" t="s">
        <v>86</v>
      </c>
      <c r="D257" s="144">
        <v>1</v>
      </c>
      <c r="E257" s="145"/>
      <c r="F257" s="158">
        <f t="shared" si="11"/>
        <v>0</v>
      </c>
      <c r="G257" s="698"/>
    </row>
    <row r="258" spans="1:7" s="148" customFormat="1" ht="34.200000000000003" x14ac:dyDescent="0.2">
      <c r="A258" s="149" t="s">
        <v>950</v>
      </c>
      <c r="B258" s="142" t="s">
        <v>1607</v>
      </c>
      <c r="C258" s="143" t="s">
        <v>86</v>
      </c>
      <c r="D258" s="144">
        <v>1</v>
      </c>
      <c r="E258" s="145"/>
      <c r="F258" s="158">
        <f t="shared" si="11"/>
        <v>0</v>
      </c>
      <c r="G258" s="698"/>
    </row>
    <row r="259" spans="1:7" s="148" customFormat="1" ht="11.4" x14ac:dyDescent="0.2">
      <c r="A259" s="149"/>
      <c r="B259" s="224" t="s">
        <v>951</v>
      </c>
      <c r="C259" s="143"/>
      <c r="D259" s="144"/>
      <c r="E259" s="145"/>
      <c r="F259" s="158"/>
      <c r="G259" s="698"/>
    </row>
    <row r="260" spans="1:7" s="148" customFormat="1" ht="22.8" x14ac:dyDescent="0.2">
      <c r="A260" s="149" t="s">
        <v>952</v>
      </c>
      <c r="B260" s="142" t="s">
        <v>1608</v>
      </c>
      <c r="C260" s="143" t="s">
        <v>86</v>
      </c>
      <c r="D260" s="144">
        <v>1</v>
      </c>
      <c r="E260" s="145"/>
      <c r="F260" s="158">
        <f t="shared" si="11"/>
        <v>0</v>
      </c>
      <c r="G260" s="698"/>
    </row>
    <row r="261" spans="1:7" s="148" customFormat="1" ht="22.8" x14ac:dyDescent="0.2">
      <c r="A261" s="149" t="s">
        <v>953</v>
      </c>
      <c r="B261" s="142" t="s">
        <v>1609</v>
      </c>
      <c r="C261" s="143" t="s">
        <v>86</v>
      </c>
      <c r="D261" s="144">
        <v>2</v>
      </c>
      <c r="E261" s="145"/>
      <c r="F261" s="158">
        <f t="shared" si="11"/>
        <v>0</v>
      </c>
      <c r="G261" s="698"/>
    </row>
    <row r="262" spans="1:7" s="148" customFormat="1" ht="22.8" x14ac:dyDescent="0.2">
      <c r="A262" s="149" t="s">
        <v>954</v>
      </c>
      <c r="B262" s="142" t="s">
        <v>1610</v>
      </c>
      <c r="C262" s="143" t="s">
        <v>86</v>
      </c>
      <c r="D262" s="144">
        <v>1</v>
      </c>
      <c r="E262" s="145"/>
      <c r="F262" s="158">
        <f t="shared" si="11"/>
        <v>0</v>
      </c>
      <c r="G262" s="698"/>
    </row>
    <row r="263" spans="1:7" s="148" customFormat="1" ht="22.8" x14ac:dyDescent="0.2">
      <c r="A263" s="149" t="s">
        <v>955</v>
      </c>
      <c r="B263" s="142" t="s">
        <v>1611</v>
      </c>
      <c r="C263" s="143" t="s">
        <v>86</v>
      </c>
      <c r="D263" s="144">
        <v>1</v>
      </c>
      <c r="E263" s="145"/>
      <c r="F263" s="158">
        <f t="shared" si="11"/>
        <v>0</v>
      </c>
      <c r="G263" s="698"/>
    </row>
    <row r="264" spans="1:7" s="148" customFormat="1" ht="11.4" x14ac:dyDescent="0.2">
      <c r="A264" s="149"/>
      <c r="B264" s="224" t="s">
        <v>956</v>
      </c>
      <c r="C264" s="143"/>
      <c r="D264" s="144"/>
      <c r="E264" s="145"/>
      <c r="F264" s="158"/>
      <c r="G264" s="698"/>
    </row>
    <row r="265" spans="1:7" s="148" customFormat="1" ht="22.8" x14ac:dyDescent="0.2">
      <c r="A265" s="149" t="s">
        <v>957</v>
      </c>
      <c r="B265" s="142" t="s">
        <v>1612</v>
      </c>
      <c r="C265" s="143" t="s">
        <v>86</v>
      </c>
      <c r="D265" s="144">
        <v>2</v>
      </c>
      <c r="E265" s="145"/>
      <c r="F265" s="158">
        <f t="shared" si="11"/>
        <v>0</v>
      </c>
      <c r="G265" s="698"/>
    </row>
    <row r="266" spans="1:7" s="148" customFormat="1" ht="22.8" x14ac:dyDescent="0.2">
      <c r="A266" s="149" t="s">
        <v>958</v>
      </c>
      <c r="B266" s="142" t="s">
        <v>1613</v>
      </c>
      <c r="C266" s="143" t="s">
        <v>86</v>
      </c>
      <c r="D266" s="144">
        <v>1</v>
      </c>
      <c r="E266" s="145"/>
      <c r="F266" s="158">
        <f t="shared" si="11"/>
        <v>0</v>
      </c>
      <c r="G266" s="698"/>
    </row>
    <row r="267" spans="1:7" s="148" customFormat="1" ht="11.4" x14ac:dyDescent="0.2">
      <c r="A267" s="149"/>
      <c r="B267" s="224" t="s">
        <v>959</v>
      </c>
      <c r="C267" s="143"/>
      <c r="D267" s="144"/>
      <c r="E267" s="145"/>
      <c r="F267" s="158">
        <f t="shared" si="11"/>
        <v>0</v>
      </c>
    </row>
    <row r="268" spans="1:7" s="148" customFormat="1" ht="22.8" x14ac:dyDescent="0.2">
      <c r="A268" s="149" t="s">
        <v>960</v>
      </c>
      <c r="B268" s="142" t="s">
        <v>1614</v>
      </c>
      <c r="C268" s="143" t="s">
        <v>86</v>
      </c>
      <c r="D268" s="144">
        <v>2</v>
      </c>
      <c r="E268" s="145"/>
      <c r="F268" s="158">
        <f t="shared" si="11"/>
        <v>0</v>
      </c>
      <c r="G268" s="698"/>
    </row>
    <row r="269" spans="1:7" s="148" customFormat="1" ht="11.4" x14ac:dyDescent="0.2">
      <c r="A269" s="149" t="s">
        <v>961</v>
      </c>
      <c r="B269" s="142" t="s">
        <v>687</v>
      </c>
      <c r="C269" s="143" t="s">
        <v>10</v>
      </c>
      <c r="D269" s="144">
        <v>1</v>
      </c>
      <c r="E269" s="145"/>
      <c r="F269" s="158">
        <f t="shared" si="11"/>
        <v>0</v>
      </c>
    </row>
    <row r="270" spans="1:7" s="148" customFormat="1" x14ac:dyDescent="0.2">
      <c r="A270" s="149"/>
      <c r="B270" s="151" t="s">
        <v>962</v>
      </c>
      <c r="C270" s="143"/>
      <c r="D270" s="144"/>
      <c r="E270" s="227"/>
      <c r="F270" s="161">
        <f>SUM(F251:F269)</f>
        <v>0</v>
      </c>
    </row>
    <row r="271" spans="1:7" s="140" customFormat="1" ht="13.8" x14ac:dyDescent="0.25">
      <c r="A271" s="135" t="s">
        <v>963</v>
      </c>
      <c r="B271" s="136" t="s">
        <v>964</v>
      </c>
      <c r="C271" s="137"/>
      <c r="D271" s="138"/>
      <c r="E271" s="137"/>
      <c r="F271" s="139"/>
    </row>
    <row r="272" spans="1:7" s="148" customFormat="1" ht="22.8" x14ac:dyDescent="0.2">
      <c r="A272" s="149" t="s">
        <v>87</v>
      </c>
      <c r="B272" s="142" t="s">
        <v>965</v>
      </c>
      <c r="C272" s="143"/>
      <c r="D272" s="144"/>
      <c r="E272" s="145"/>
      <c r="F272" s="146"/>
    </row>
    <row r="273" spans="1:7" s="148" customFormat="1" ht="23.4" x14ac:dyDescent="0.2">
      <c r="A273" s="149" t="s">
        <v>966</v>
      </c>
      <c r="B273" s="142" t="s">
        <v>1749</v>
      </c>
      <c r="C273" s="143" t="s">
        <v>86</v>
      </c>
      <c r="D273" s="144">
        <v>1</v>
      </c>
      <c r="E273" s="145"/>
      <c r="F273" s="146">
        <f t="shared" ref="F273:F279" si="12">D273*E273</f>
        <v>0</v>
      </c>
      <c r="G273" s="698"/>
    </row>
    <row r="274" spans="1:7" s="148" customFormat="1" x14ac:dyDescent="0.2">
      <c r="A274" s="149" t="s">
        <v>967</v>
      </c>
      <c r="B274" s="142" t="s">
        <v>1615</v>
      </c>
      <c r="C274" s="143" t="s">
        <v>86</v>
      </c>
      <c r="D274" s="144">
        <v>1</v>
      </c>
      <c r="E274" s="145"/>
      <c r="F274" s="146">
        <f t="shared" si="12"/>
        <v>0</v>
      </c>
      <c r="G274" s="698"/>
    </row>
    <row r="275" spans="1:7" s="148" customFormat="1" ht="34.799999999999997" x14ac:dyDescent="0.2">
      <c r="A275" s="149" t="s">
        <v>968</v>
      </c>
      <c r="B275" s="142" t="s">
        <v>1750</v>
      </c>
      <c r="C275" s="143" t="s">
        <v>86</v>
      </c>
      <c r="D275" s="144">
        <v>4</v>
      </c>
      <c r="E275" s="145"/>
      <c r="F275" s="146">
        <f t="shared" si="12"/>
        <v>0</v>
      </c>
      <c r="G275" s="698"/>
    </row>
    <row r="276" spans="1:7" s="148" customFormat="1" ht="24" x14ac:dyDescent="0.2">
      <c r="A276" s="149" t="s">
        <v>969</v>
      </c>
      <c r="B276" s="142" t="s">
        <v>1751</v>
      </c>
      <c r="C276" s="143" t="s">
        <v>86</v>
      </c>
      <c r="D276" s="144">
        <v>1</v>
      </c>
      <c r="E276" s="145"/>
      <c r="F276" s="146">
        <f t="shared" si="12"/>
        <v>0</v>
      </c>
      <c r="G276" s="698"/>
    </row>
    <row r="277" spans="1:7" s="148" customFormat="1" x14ac:dyDescent="0.2">
      <c r="A277" s="149" t="s">
        <v>970</v>
      </c>
      <c r="B277" s="142" t="s">
        <v>971</v>
      </c>
      <c r="C277" s="143" t="s">
        <v>10</v>
      </c>
      <c r="D277" s="144">
        <v>1</v>
      </c>
      <c r="E277" s="145"/>
      <c r="F277" s="146">
        <f t="shared" si="12"/>
        <v>0</v>
      </c>
    </row>
    <row r="278" spans="1:7" s="148" customFormat="1" x14ac:dyDescent="0.2">
      <c r="A278" s="149" t="s">
        <v>972</v>
      </c>
      <c r="B278" s="142" t="s">
        <v>973</v>
      </c>
      <c r="C278" s="143" t="s">
        <v>10</v>
      </c>
      <c r="D278" s="144">
        <v>1</v>
      </c>
      <c r="E278" s="145"/>
      <c r="F278" s="146">
        <f t="shared" si="12"/>
        <v>0</v>
      </c>
    </row>
    <row r="279" spans="1:7" s="148" customFormat="1" x14ac:dyDescent="0.2">
      <c r="A279" s="149" t="s">
        <v>974</v>
      </c>
      <c r="B279" s="142" t="s">
        <v>975</v>
      </c>
      <c r="C279" s="143" t="s">
        <v>86</v>
      </c>
      <c r="D279" s="144">
        <v>1</v>
      </c>
      <c r="E279" s="145"/>
      <c r="F279" s="146">
        <f t="shared" si="12"/>
        <v>0</v>
      </c>
    </row>
    <row r="280" spans="1:7" s="148" customFormat="1" ht="22.8" x14ac:dyDescent="0.2">
      <c r="A280" s="141"/>
      <c r="B280" s="142" t="s">
        <v>976</v>
      </c>
      <c r="C280" s="143"/>
      <c r="D280" s="144"/>
      <c r="E280" s="145"/>
      <c r="F280" s="146"/>
    </row>
    <row r="281" spans="1:7" s="148" customFormat="1" x14ac:dyDescent="0.2">
      <c r="A281" s="141"/>
      <c r="B281" s="151" t="s">
        <v>977</v>
      </c>
      <c r="C281" s="143"/>
      <c r="D281" s="144"/>
      <c r="E281" s="145"/>
      <c r="F281" s="161">
        <f>SUM(F273:F280)</f>
        <v>0</v>
      </c>
    </row>
    <row r="282" spans="1:7" s="140" customFormat="1" ht="27.6" x14ac:dyDescent="0.25">
      <c r="A282" s="135" t="s">
        <v>978</v>
      </c>
      <c r="B282" s="136" t="s">
        <v>979</v>
      </c>
      <c r="C282" s="137"/>
      <c r="D282" s="138"/>
      <c r="E282" s="137"/>
      <c r="F282" s="139"/>
    </row>
    <row r="283" spans="1:7" s="148" customFormat="1" ht="262.2" x14ac:dyDescent="0.2">
      <c r="A283" s="149" t="s">
        <v>145</v>
      </c>
      <c r="B283" s="142" t="s">
        <v>1797</v>
      </c>
      <c r="C283" s="143"/>
      <c r="D283" s="144"/>
      <c r="E283" s="145"/>
      <c r="F283" s="146"/>
    </row>
    <row r="284" spans="1:7" s="148" customFormat="1" ht="69" x14ac:dyDescent="0.2">
      <c r="A284" s="149" t="s">
        <v>980</v>
      </c>
      <c r="B284" s="142" t="s">
        <v>1752</v>
      </c>
      <c r="C284" s="143" t="s">
        <v>632</v>
      </c>
      <c r="D284" s="144">
        <v>50</v>
      </c>
      <c r="E284" s="145"/>
      <c r="F284" s="146">
        <f t="shared" ref="F284:F303" si="13">D284*E284</f>
        <v>0</v>
      </c>
      <c r="G284" s="698"/>
    </row>
    <row r="285" spans="1:7" s="148" customFormat="1" ht="57.6" x14ac:dyDescent="0.2">
      <c r="A285" s="149" t="s">
        <v>981</v>
      </c>
      <c r="B285" s="142" t="s">
        <v>1753</v>
      </c>
      <c r="C285" s="143" t="s">
        <v>86</v>
      </c>
      <c r="D285" s="144">
        <v>1</v>
      </c>
      <c r="E285" s="145"/>
      <c r="F285" s="146">
        <f t="shared" si="13"/>
        <v>0</v>
      </c>
      <c r="G285" s="698"/>
    </row>
    <row r="286" spans="1:7" s="148" customFormat="1" ht="69" x14ac:dyDescent="0.2">
      <c r="A286" s="149" t="s">
        <v>982</v>
      </c>
      <c r="B286" s="142" t="s">
        <v>1754</v>
      </c>
      <c r="C286" s="143" t="s">
        <v>86</v>
      </c>
      <c r="D286" s="144">
        <v>8</v>
      </c>
      <c r="E286" s="145"/>
      <c r="F286" s="146">
        <f t="shared" si="13"/>
        <v>0</v>
      </c>
      <c r="G286" s="698"/>
    </row>
    <row r="287" spans="1:7" s="148" customFormat="1" ht="91.8" x14ac:dyDescent="0.2">
      <c r="A287" s="149" t="s">
        <v>983</v>
      </c>
      <c r="B287" s="142" t="s">
        <v>1755</v>
      </c>
      <c r="C287" s="143" t="s">
        <v>86</v>
      </c>
      <c r="D287" s="144">
        <v>70</v>
      </c>
      <c r="E287" s="145"/>
      <c r="F287" s="146">
        <f t="shared" si="13"/>
        <v>0</v>
      </c>
      <c r="G287" s="698"/>
    </row>
    <row r="288" spans="1:7" s="148" customFormat="1" ht="80.400000000000006" x14ac:dyDescent="0.2">
      <c r="A288" s="149" t="s">
        <v>984</v>
      </c>
      <c r="B288" s="142" t="s">
        <v>1756</v>
      </c>
      <c r="C288" s="143" t="s">
        <v>86</v>
      </c>
      <c r="D288" s="144">
        <v>2</v>
      </c>
      <c r="E288" s="145"/>
      <c r="F288" s="146">
        <f t="shared" si="13"/>
        <v>0</v>
      </c>
      <c r="G288" s="698"/>
    </row>
    <row r="289" spans="1:7" s="148" customFormat="1" ht="57.6" x14ac:dyDescent="0.2">
      <c r="A289" s="149" t="s">
        <v>985</v>
      </c>
      <c r="B289" s="142" t="s">
        <v>1757</v>
      </c>
      <c r="C289" s="143" t="s">
        <v>86</v>
      </c>
      <c r="D289" s="144">
        <v>2</v>
      </c>
      <c r="E289" s="145"/>
      <c r="F289" s="146">
        <f t="shared" si="13"/>
        <v>0</v>
      </c>
      <c r="G289" s="698"/>
    </row>
    <row r="290" spans="1:7" s="148" customFormat="1" ht="57.6" x14ac:dyDescent="0.2">
      <c r="A290" s="149" t="s">
        <v>986</v>
      </c>
      <c r="B290" s="142" t="s">
        <v>1758</v>
      </c>
      <c r="C290" s="143" t="s">
        <v>86</v>
      </c>
      <c r="D290" s="144">
        <v>4</v>
      </c>
      <c r="E290" s="145"/>
      <c r="F290" s="146">
        <f t="shared" si="13"/>
        <v>0</v>
      </c>
      <c r="G290" s="698"/>
    </row>
    <row r="291" spans="1:7" s="148" customFormat="1" ht="69" x14ac:dyDescent="0.2">
      <c r="A291" s="149" t="s">
        <v>987</v>
      </c>
      <c r="B291" s="142" t="s">
        <v>1759</v>
      </c>
      <c r="C291" s="143" t="s">
        <v>86</v>
      </c>
      <c r="D291" s="144">
        <v>15</v>
      </c>
      <c r="E291" s="145"/>
      <c r="F291" s="146">
        <f t="shared" si="13"/>
        <v>0</v>
      </c>
      <c r="G291" s="698"/>
    </row>
    <row r="292" spans="1:7" s="148" customFormat="1" ht="57.6" x14ac:dyDescent="0.2">
      <c r="A292" s="149" t="s">
        <v>988</v>
      </c>
      <c r="B292" s="142" t="s">
        <v>1760</v>
      </c>
      <c r="C292" s="143" t="s">
        <v>86</v>
      </c>
      <c r="D292" s="144">
        <v>5</v>
      </c>
      <c r="E292" s="145"/>
      <c r="F292" s="146">
        <f t="shared" si="13"/>
        <v>0</v>
      </c>
      <c r="G292" s="698"/>
    </row>
    <row r="293" spans="1:7" s="148" customFormat="1" ht="57.6" x14ac:dyDescent="0.2">
      <c r="A293" s="149" t="s">
        <v>989</v>
      </c>
      <c r="B293" s="142" t="s">
        <v>1761</v>
      </c>
      <c r="C293" s="143" t="s">
        <v>86</v>
      </c>
      <c r="D293" s="144">
        <v>6</v>
      </c>
      <c r="E293" s="145"/>
      <c r="F293" s="146">
        <f t="shared" si="13"/>
        <v>0</v>
      </c>
      <c r="G293" s="698"/>
    </row>
    <row r="294" spans="1:7" s="148" customFormat="1" ht="57.6" x14ac:dyDescent="0.2">
      <c r="A294" s="149" t="s">
        <v>990</v>
      </c>
      <c r="B294" s="142" t="s">
        <v>1762</v>
      </c>
      <c r="C294" s="143" t="s">
        <v>632</v>
      </c>
      <c r="D294" s="144">
        <v>75</v>
      </c>
      <c r="E294" s="145"/>
      <c r="F294" s="146">
        <f t="shared" si="13"/>
        <v>0</v>
      </c>
      <c r="G294" s="698"/>
    </row>
    <row r="295" spans="1:7" s="148" customFormat="1" ht="57.6" x14ac:dyDescent="0.2">
      <c r="A295" s="149" t="s">
        <v>991</v>
      </c>
      <c r="B295" s="142" t="s">
        <v>1763</v>
      </c>
      <c r="C295" s="143" t="s">
        <v>86</v>
      </c>
      <c r="D295" s="144">
        <v>50</v>
      </c>
      <c r="E295" s="145"/>
      <c r="F295" s="146">
        <f t="shared" si="13"/>
        <v>0</v>
      </c>
      <c r="G295" s="698"/>
    </row>
    <row r="296" spans="1:7" s="148" customFormat="1" ht="69" x14ac:dyDescent="0.2">
      <c r="A296" s="149" t="s">
        <v>992</v>
      </c>
      <c r="B296" s="142" t="s">
        <v>1764</v>
      </c>
      <c r="C296" s="143" t="s">
        <v>86</v>
      </c>
      <c r="D296" s="144">
        <v>7</v>
      </c>
      <c r="E296" s="145"/>
      <c r="F296" s="146">
        <f t="shared" si="13"/>
        <v>0</v>
      </c>
      <c r="G296" s="698"/>
    </row>
    <row r="297" spans="1:7" s="148" customFormat="1" ht="57.6" x14ac:dyDescent="0.2">
      <c r="A297" s="149" t="s">
        <v>993</v>
      </c>
      <c r="B297" s="142" t="s">
        <v>1765</v>
      </c>
      <c r="C297" s="143" t="s">
        <v>86</v>
      </c>
      <c r="D297" s="144">
        <v>7</v>
      </c>
      <c r="E297" s="145"/>
      <c r="F297" s="146">
        <f t="shared" si="13"/>
        <v>0</v>
      </c>
      <c r="G297" s="698"/>
    </row>
    <row r="298" spans="1:7" s="148" customFormat="1" ht="57.6" x14ac:dyDescent="0.2">
      <c r="A298" s="149" t="s">
        <v>994</v>
      </c>
      <c r="B298" s="142" t="s">
        <v>1766</v>
      </c>
      <c r="C298" s="143" t="s">
        <v>632</v>
      </c>
      <c r="D298" s="144">
        <v>160</v>
      </c>
      <c r="E298" s="145"/>
      <c r="F298" s="146">
        <f t="shared" si="13"/>
        <v>0</v>
      </c>
      <c r="G298" s="698"/>
    </row>
    <row r="299" spans="1:7" s="148" customFormat="1" ht="69" x14ac:dyDescent="0.2">
      <c r="A299" s="149" t="s">
        <v>995</v>
      </c>
      <c r="B299" s="142" t="s">
        <v>1767</v>
      </c>
      <c r="C299" s="143" t="s">
        <v>632</v>
      </c>
      <c r="D299" s="144">
        <v>80</v>
      </c>
      <c r="E299" s="145"/>
      <c r="F299" s="146">
        <f t="shared" si="13"/>
        <v>0</v>
      </c>
      <c r="G299" s="698"/>
    </row>
    <row r="300" spans="1:7" s="148" customFormat="1" ht="34.799999999999997" x14ac:dyDescent="0.2">
      <c r="A300" s="149" t="s">
        <v>996</v>
      </c>
      <c r="B300" s="142" t="s">
        <v>1768</v>
      </c>
      <c r="C300" s="143" t="s">
        <v>86</v>
      </c>
      <c r="D300" s="144">
        <v>30</v>
      </c>
      <c r="E300" s="145"/>
      <c r="F300" s="146">
        <f t="shared" si="13"/>
        <v>0</v>
      </c>
      <c r="G300" s="698"/>
    </row>
    <row r="301" spans="1:7" s="148" customFormat="1" ht="57.6" x14ac:dyDescent="0.2">
      <c r="A301" s="149" t="s">
        <v>997</v>
      </c>
      <c r="B301" s="142" t="s">
        <v>1769</v>
      </c>
      <c r="C301" s="143" t="s">
        <v>86</v>
      </c>
      <c r="D301" s="144">
        <v>50</v>
      </c>
      <c r="E301" s="145"/>
      <c r="F301" s="146">
        <f t="shared" si="13"/>
        <v>0</v>
      </c>
      <c r="G301" s="698"/>
    </row>
    <row r="302" spans="1:7" s="148" customFormat="1" ht="57.6" x14ac:dyDescent="0.2">
      <c r="A302" s="149" t="s">
        <v>998</v>
      </c>
      <c r="B302" s="142" t="s">
        <v>1770</v>
      </c>
      <c r="C302" s="143" t="s">
        <v>86</v>
      </c>
      <c r="D302" s="144">
        <v>5</v>
      </c>
      <c r="E302" s="145"/>
      <c r="F302" s="146">
        <f t="shared" si="13"/>
        <v>0</v>
      </c>
      <c r="G302" s="698"/>
    </row>
    <row r="303" spans="1:7" s="148" customFormat="1" ht="57.6" x14ac:dyDescent="0.2">
      <c r="A303" s="149" t="s">
        <v>999</v>
      </c>
      <c r="B303" s="142" t="s">
        <v>1771</v>
      </c>
      <c r="C303" s="143" t="s">
        <v>86</v>
      </c>
      <c r="D303" s="144">
        <v>5</v>
      </c>
      <c r="E303" s="145"/>
      <c r="F303" s="146">
        <f t="shared" si="13"/>
        <v>0</v>
      </c>
      <c r="G303" s="698"/>
    </row>
    <row r="304" spans="1:7" s="148" customFormat="1" ht="171.6" x14ac:dyDescent="0.2">
      <c r="A304" s="149" t="s">
        <v>1000</v>
      </c>
      <c r="B304" s="142" t="s">
        <v>1772</v>
      </c>
      <c r="C304" s="143" t="s">
        <v>86</v>
      </c>
      <c r="D304" s="144">
        <v>2</v>
      </c>
      <c r="E304" s="145"/>
      <c r="F304" s="158">
        <f>D304*E304</f>
        <v>0</v>
      </c>
      <c r="G304" s="698"/>
    </row>
    <row r="305" spans="1:6" s="148" customFormat="1" ht="119.4" customHeight="1" x14ac:dyDescent="0.2">
      <c r="A305" s="149" t="s">
        <v>1001</v>
      </c>
      <c r="B305" s="142" t="s">
        <v>1002</v>
      </c>
      <c r="C305" s="143" t="s">
        <v>86</v>
      </c>
      <c r="D305" s="144">
        <v>1</v>
      </c>
      <c r="E305" s="145"/>
      <c r="F305" s="158">
        <f>D305*E305</f>
        <v>0</v>
      </c>
    </row>
    <row r="306" spans="1:6" s="148" customFormat="1" x14ac:dyDescent="0.2">
      <c r="A306" s="149" t="s">
        <v>1003</v>
      </c>
      <c r="B306" s="142" t="s">
        <v>975</v>
      </c>
      <c r="C306" s="143" t="s">
        <v>86</v>
      </c>
      <c r="D306" s="144">
        <v>1</v>
      </c>
      <c r="E306" s="145"/>
      <c r="F306" s="146">
        <f>D306*E306</f>
        <v>0</v>
      </c>
    </row>
    <row r="307" spans="1:6" s="148" customFormat="1" x14ac:dyDescent="0.2">
      <c r="A307" s="149"/>
      <c r="B307" s="151" t="s">
        <v>1004</v>
      </c>
      <c r="C307" s="143"/>
      <c r="D307" s="144"/>
      <c r="E307" s="145"/>
      <c r="F307" s="161">
        <f>SUM(F283:F306)</f>
        <v>0</v>
      </c>
    </row>
    <row r="308" spans="1:6" s="140" customFormat="1" ht="13.8" x14ac:dyDescent="0.25">
      <c r="A308" s="135" t="s">
        <v>862</v>
      </c>
      <c r="B308" s="136" t="s">
        <v>1005</v>
      </c>
      <c r="C308" s="137"/>
      <c r="D308" s="138"/>
      <c r="E308" s="137"/>
      <c r="F308" s="139"/>
    </row>
    <row r="309" spans="1:6" ht="228" x14ac:dyDescent="0.25">
      <c r="A309" s="759"/>
      <c r="B309" s="142" t="s">
        <v>1798</v>
      </c>
      <c r="C309" s="143" t="s">
        <v>10</v>
      </c>
      <c r="D309" s="144">
        <v>1</v>
      </c>
      <c r="E309" s="145"/>
      <c r="F309" s="146">
        <f>D309*E309</f>
        <v>0</v>
      </c>
    </row>
    <row r="310" spans="1:6" ht="68.400000000000006" x14ac:dyDescent="0.25">
      <c r="A310" s="760"/>
      <c r="B310" s="142" t="s">
        <v>1006</v>
      </c>
      <c r="C310" s="228"/>
      <c r="D310" s="228"/>
      <c r="E310" s="229"/>
      <c r="F310" s="230"/>
    </row>
    <row r="311" spans="1:6" s="140" customFormat="1" ht="13.8" x14ac:dyDescent="0.25">
      <c r="A311" s="135" t="s">
        <v>1007</v>
      </c>
      <c r="B311" s="136" t="s">
        <v>1008</v>
      </c>
      <c r="C311" s="137"/>
      <c r="D311" s="138"/>
      <c r="E311" s="137"/>
      <c r="F311" s="139"/>
    </row>
    <row r="312" spans="1:6" ht="114" x14ac:dyDescent="0.25">
      <c r="A312" s="141" t="s">
        <v>158</v>
      </c>
      <c r="B312" s="142" t="s">
        <v>1009</v>
      </c>
      <c r="C312" s="143" t="s">
        <v>10</v>
      </c>
      <c r="D312" s="143">
        <v>1</v>
      </c>
      <c r="E312" s="223"/>
      <c r="F312" s="231">
        <f>D312*E312</f>
        <v>0</v>
      </c>
    </row>
    <row r="313" spans="1:6" ht="22.8" x14ac:dyDescent="0.25">
      <c r="A313" s="141" t="s">
        <v>159</v>
      </c>
      <c r="B313" s="142" t="s">
        <v>1010</v>
      </c>
      <c r="C313" s="143" t="s">
        <v>10</v>
      </c>
      <c r="D313" s="143">
        <v>1</v>
      </c>
      <c r="E313" s="223"/>
      <c r="F313" s="231">
        <f>D313*E313</f>
        <v>0</v>
      </c>
    </row>
    <row r="314" spans="1:6" ht="13.8" thickBot="1" x14ac:dyDescent="0.3">
      <c r="A314" s="141"/>
      <c r="B314" s="151" t="s">
        <v>1011</v>
      </c>
      <c r="C314" s="143"/>
      <c r="D314" s="143"/>
      <c r="E314" s="223"/>
      <c r="F314" s="231">
        <f>SUM(F312:F313)</f>
        <v>0</v>
      </c>
    </row>
    <row r="315" spans="1:6" x14ac:dyDescent="0.25">
      <c r="A315" s="162"/>
      <c r="B315" s="163"/>
      <c r="C315" s="164"/>
      <c r="D315" s="165"/>
      <c r="E315" s="166"/>
      <c r="F315" s="167"/>
    </row>
    <row r="316" spans="1:6" x14ac:dyDescent="0.25">
      <c r="A316" s="168"/>
      <c r="B316" s="169"/>
      <c r="C316" s="170"/>
      <c r="D316" s="171"/>
      <c r="E316" s="172"/>
      <c r="F316" s="173"/>
    </row>
    <row r="317" spans="1:6" x14ac:dyDescent="0.25">
      <c r="A317" s="168"/>
      <c r="B317" s="169"/>
      <c r="C317" s="170"/>
      <c r="D317" s="171"/>
      <c r="E317" s="172"/>
      <c r="F317" s="173"/>
    </row>
    <row r="318" spans="1:6" x14ac:dyDescent="0.25">
      <c r="A318" s="168"/>
      <c r="B318" s="169"/>
      <c r="C318" s="170"/>
      <c r="D318" s="171"/>
      <c r="E318" s="172"/>
      <c r="F318" s="173"/>
    </row>
    <row r="319" spans="1:6" x14ac:dyDescent="0.25">
      <c r="A319" s="690"/>
      <c r="B319" s="692" t="s">
        <v>1578</v>
      </c>
      <c r="C319" s="16"/>
      <c r="D319" s="16"/>
      <c r="E319" s="16"/>
      <c r="F319" s="29"/>
    </row>
    <row r="320" spans="1:6" x14ac:dyDescent="0.25">
      <c r="A320" s="691"/>
      <c r="B320" s="732" t="s">
        <v>1788</v>
      </c>
      <c r="C320" s="732"/>
      <c r="D320" s="732"/>
      <c r="E320" s="732"/>
      <c r="F320" s="732"/>
    </row>
    <row r="321" spans="1:13" x14ac:dyDescent="0.25">
      <c r="A321" s="19"/>
      <c r="B321" s="732"/>
      <c r="C321" s="732"/>
      <c r="D321" s="732"/>
      <c r="E321" s="732"/>
      <c r="F321" s="732"/>
    </row>
    <row r="322" spans="1:13" x14ac:dyDescent="0.25">
      <c r="A322" s="168"/>
      <c r="B322" s="169"/>
      <c r="C322" s="170"/>
      <c r="D322" s="171"/>
      <c r="E322" s="172"/>
      <c r="F322" s="173"/>
    </row>
    <row r="323" spans="1:13" x14ac:dyDescent="0.25">
      <c r="A323" s="168"/>
      <c r="B323" s="169"/>
      <c r="C323" s="170"/>
      <c r="D323" s="171"/>
      <c r="E323" s="172"/>
      <c r="F323" s="173"/>
    </row>
    <row r="324" spans="1:13" customFormat="1" ht="26.4" customHeight="1" x14ac:dyDescent="0.25">
      <c r="A324" s="19"/>
      <c r="B324" s="731" t="s">
        <v>1776</v>
      </c>
      <c r="C324" s="731"/>
      <c r="D324" s="731"/>
      <c r="E324" s="731"/>
      <c r="F324" s="731"/>
      <c r="G324" s="731"/>
      <c r="H324" s="731"/>
      <c r="I324" s="731"/>
      <c r="J324" s="731"/>
      <c r="K324" s="731"/>
      <c r="L324" s="731"/>
      <c r="M324" s="731"/>
    </row>
    <row r="325" spans="1:13" x14ac:dyDescent="0.25">
      <c r="A325" s="168"/>
      <c r="B325" s="169"/>
      <c r="C325" s="170"/>
      <c r="D325" s="171"/>
      <c r="E325" s="172"/>
      <c r="F325" s="173"/>
    </row>
    <row r="326" spans="1:13" x14ac:dyDescent="0.25">
      <c r="A326" s="168"/>
      <c r="B326" s="169"/>
      <c r="C326" s="170"/>
      <c r="D326" s="171"/>
      <c r="E326" s="172"/>
      <c r="F326" s="173"/>
    </row>
    <row r="327" spans="1:13" ht="16.2" thickBot="1" x14ac:dyDescent="0.3">
      <c r="A327" s="761" t="s">
        <v>607</v>
      </c>
      <c r="B327" s="762"/>
      <c r="C327" s="762"/>
      <c r="D327" s="762"/>
      <c r="E327" s="762"/>
      <c r="F327" s="763"/>
    </row>
    <row r="328" spans="1:13" ht="13.8" thickBot="1" x14ac:dyDescent="0.3">
      <c r="A328" s="174" t="s">
        <v>608</v>
      </c>
      <c r="B328" s="764" t="s">
        <v>469</v>
      </c>
      <c r="C328" s="765"/>
      <c r="D328" s="765"/>
      <c r="E328" s="766"/>
      <c r="F328" s="175" t="s">
        <v>473</v>
      </c>
    </row>
    <row r="329" spans="1:13" ht="14.4" thickTop="1" thickBot="1" x14ac:dyDescent="0.3">
      <c r="A329" s="176" t="s">
        <v>609</v>
      </c>
      <c r="B329" s="757" t="s">
        <v>629</v>
      </c>
      <c r="C329" s="758"/>
      <c r="D329" s="758"/>
      <c r="E329" s="758"/>
      <c r="F329" s="177">
        <f>F51</f>
        <v>0</v>
      </c>
    </row>
    <row r="330" spans="1:13" ht="14.4" thickTop="1" thickBot="1" x14ac:dyDescent="0.3">
      <c r="A330" s="176" t="s">
        <v>610</v>
      </c>
      <c r="B330" s="757" t="s">
        <v>683</v>
      </c>
      <c r="C330" s="758"/>
      <c r="D330" s="758"/>
      <c r="E330" s="758"/>
      <c r="F330" s="177">
        <f>F57</f>
        <v>0</v>
      </c>
    </row>
    <row r="331" spans="1:13" ht="14.4" thickTop="1" thickBot="1" x14ac:dyDescent="0.3">
      <c r="A331" s="176" t="s">
        <v>611</v>
      </c>
      <c r="B331" s="757" t="s">
        <v>688</v>
      </c>
      <c r="C331" s="758"/>
      <c r="D331" s="758"/>
      <c r="E331" s="758"/>
      <c r="F331" s="177">
        <f>F84</f>
        <v>0</v>
      </c>
    </row>
    <row r="332" spans="1:13" ht="14.4" thickTop="1" thickBot="1" x14ac:dyDescent="0.3">
      <c r="A332" s="176" t="s">
        <v>612</v>
      </c>
      <c r="B332" s="757" t="s">
        <v>705</v>
      </c>
      <c r="C332" s="758"/>
      <c r="D332" s="758"/>
      <c r="E332" s="758"/>
      <c r="F332" s="177">
        <f>F118</f>
        <v>0</v>
      </c>
    </row>
    <row r="333" spans="1:13" ht="28.5" customHeight="1" thickTop="1" thickBot="1" x14ac:dyDescent="0.3">
      <c r="A333" s="176" t="s">
        <v>1012</v>
      </c>
      <c r="B333" s="757" t="s">
        <v>759</v>
      </c>
      <c r="C333" s="758"/>
      <c r="D333" s="758"/>
      <c r="E333" s="758"/>
      <c r="F333" s="177">
        <f>F167</f>
        <v>0</v>
      </c>
    </row>
    <row r="334" spans="1:13" ht="14.4" thickTop="1" thickBot="1" x14ac:dyDescent="0.3">
      <c r="A334" s="176" t="s">
        <v>1013</v>
      </c>
      <c r="B334" s="757" t="s">
        <v>835</v>
      </c>
      <c r="C334" s="758"/>
      <c r="D334" s="758"/>
      <c r="E334" s="758"/>
      <c r="F334" s="177">
        <f>F185</f>
        <v>0</v>
      </c>
    </row>
    <row r="335" spans="1:13" ht="14.4" thickTop="1" thickBot="1" x14ac:dyDescent="0.3">
      <c r="A335" s="176" t="s">
        <v>1014</v>
      </c>
      <c r="B335" s="757" t="s">
        <v>863</v>
      </c>
      <c r="C335" s="758"/>
      <c r="D335" s="758"/>
      <c r="E335" s="758"/>
      <c r="F335" s="177">
        <f>F218</f>
        <v>0</v>
      </c>
    </row>
    <row r="336" spans="1:13" ht="14.4" thickTop="1" thickBot="1" x14ac:dyDescent="0.3">
      <c r="A336" s="176" t="s">
        <v>1015</v>
      </c>
      <c r="B336" s="757" t="s">
        <v>902</v>
      </c>
      <c r="C336" s="758"/>
      <c r="D336" s="758"/>
      <c r="E336" s="758"/>
      <c r="F336" s="177">
        <f>F247</f>
        <v>0</v>
      </c>
    </row>
    <row r="337" spans="1:6" ht="14.4" thickTop="1" thickBot="1" x14ac:dyDescent="0.3">
      <c r="A337" s="176" t="s">
        <v>1016</v>
      </c>
      <c r="B337" s="757" t="s">
        <v>940</v>
      </c>
      <c r="C337" s="758"/>
      <c r="D337" s="758"/>
      <c r="E337" s="758"/>
      <c r="F337" s="177">
        <f>F270</f>
        <v>0</v>
      </c>
    </row>
    <row r="338" spans="1:6" ht="14.4" thickTop="1" thickBot="1" x14ac:dyDescent="0.3">
      <c r="A338" s="176" t="s">
        <v>1017</v>
      </c>
      <c r="B338" s="757" t="s">
        <v>964</v>
      </c>
      <c r="C338" s="758"/>
      <c r="D338" s="758"/>
      <c r="E338" s="758"/>
      <c r="F338" s="177">
        <f>F281</f>
        <v>0</v>
      </c>
    </row>
    <row r="339" spans="1:6" ht="14.4" thickTop="1" thickBot="1" x14ac:dyDescent="0.3">
      <c r="A339" s="176" t="s">
        <v>1018</v>
      </c>
      <c r="B339" s="757" t="s">
        <v>979</v>
      </c>
      <c r="C339" s="758"/>
      <c r="D339" s="758"/>
      <c r="E339" s="758"/>
      <c r="F339" s="177">
        <f>F307</f>
        <v>0</v>
      </c>
    </row>
    <row r="340" spans="1:6" ht="14.4" thickTop="1" thickBot="1" x14ac:dyDescent="0.3">
      <c r="A340" s="176" t="s">
        <v>1019</v>
      </c>
      <c r="B340" s="757" t="s">
        <v>1005</v>
      </c>
      <c r="C340" s="758"/>
      <c r="D340" s="758"/>
      <c r="E340" s="758"/>
      <c r="F340" s="177">
        <f>F309</f>
        <v>0</v>
      </c>
    </row>
    <row r="341" spans="1:6" ht="14.4" thickTop="1" thickBot="1" x14ac:dyDescent="0.3">
      <c r="A341" s="176" t="s">
        <v>1020</v>
      </c>
      <c r="B341" s="757" t="s">
        <v>1008</v>
      </c>
      <c r="C341" s="758"/>
      <c r="D341" s="758"/>
      <c r="E341" s="758"/>
      <c r="F341" s="177">
        <f>F314</f>
        <v>0</v>
      </c>
    </row>
    <row r="342" spans="1:6" ht="16.8" thickTop="1" thickBot="1" x14ac:dyDescent="0.35">
      <c r="A342" s="178"/>
      <c r="B342" s="767" t="s">
        <v>613</v>
      </c>
      <c r="C342" s="768"/>
      <c r="D342" s="768"/>
      <c r="E342" s="769"/>
      <c r="F342" s="179">
        <f>SUM(F329:F341)</f>
        <v>0</v>
      </c>
    </row>
    <row r="343" spans="1:6" ht="15.6" x14ac:dyDescent="0.25">
      <c r="A343" s="180"/>
      <c r="B343" s="181"/>
      <c r="C343" s="181"/>
      <c r="D343" s="181"/>
      <c r="E343" s="182"/>
      <c r="F343" s="181"/>
    </row>
  </sheetData>
  <mergeCells count="20">
    <mergeCell ref="B340:E340"/>
    <mergeCell ref="B341:E341"/>
    <mergeCell ref="B342:E342"/>
    <mergeCell ref="B334:E334"/>
    <mergeCell ref="B335:E335"/>
    <mergeCell ref="B336:E336"/>
    <mergeCell ref="B337:E337"/>
    <mergeCell ref="B338:E338"/>
    <mergeCell ref="B339:E339"/>
    <mergeCell ref="B333:E333"/>
    <mergeCell ref="A309:A310"/>
    <mergeCell ref="A327:F327"/>
    <mergeCell ref="A1:F1"/>
    <mergeCell ref="B328:E328"/>
    <mergeCell ref="B329:E329"/>
    <mergeCell ref="B330:E330"/>
    <mergeCell ref="B331:E331"/>
    <mergeCell ref="B332:E332"/>
    <mergeCell ref="B320:F321"/>
    <mergeCell ref="B324:M324"/>
  </mergeCells>
  <pageMargins left="0.11811023622047245" right="0.11811023622047245" top="0.35433070866141736" bottom="0.55118110236220474"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51"/>
  <sheetViews>
    <sheetView topLeftCell="A130" workbookViewId="0">
      <selection activeCell="C155" sqref="C155"/>
    </sheetView>
  </sheetViews>
  <sheetFormatPr defaultColWidth="9.109375" defaultRowHeight="13.2" x14ac:dyDescent="0.25"/>
  <cols>
    <col min="1" max="1" width="10.88671875" style="120" customWidth="1"/>
    <col min="2" max="2" width="39.88671875" style="120" customWidth="1"/>
    <col min="3" max="3" width="8.33203125" style="120" customWidth="1"/>
    <col min="4" max="4" width="8.6640625" style="120" customWidth="1"/>
    <col min="5" max="5" width="14.5546875" style="8" bestFit="1" customWidth="1"/>
    <col min="6" max="6" width="19.33203125" style="120" bestFit="1" customWidth="1"/>
    <col min="7" max="7" width="19" style="120" customWidth="1"/>
    <col min="8" max="12" width="9.109375" style="120"/>
    <col min="13" max="13" width="9.109375" style="120" customWidth="1"/>
    <col min="14" max="256" width="9.109375" style="120"/>
    <col min="257" max="257" width="10.88671875" style="120" customWidth="1"/>
    <col min="258" max="258" width="39.88671875" style="120" customWidth="1"/>
    <col min="259" max="259" width="8.33203125" style="120" customWidth="1"/>
    <col min="260" max="260" width="8.6640625" style="120" customWidth="1"/>
    <col min="261" max="261" width="21.109375" style="120" customWidth="1"/>
    <col min="262" max="262" width="20.33203125" style="120" customWidth="1"/>
    <col min="263" max="268" width="9.109375" style="120"/>
    <col min="269" max="269" width="9.109375" style="120" customWidth="1"/>
    <col min="270" max="512" width="9.109375" style="120"/>
    <col min="513" max="513" width="10.88671875" style="120" customWidth="1"/>
    <col min="514" max="514" width="39.88671875" style="120" customWidth="1"/>
    <col min="515" max="515" width="8.33203125" style="120" customWidth="1"/>
    <col min="516" max="516" width="8.6640625" style="120" customWidth="1"/>
    <col min="517" max="517" width="21.109375" style="120" customWidth="1"/>
    <col min="518" max="518" width="20.33203125" style="120" customWidth="1"/>
    <col min="519" max="524" width="9.109375" style="120"/>
    <col min="525" max="525" width="9.109375" style="120" customWidth="1"/>
    <col min="526" max="768" width="9.109375" style="120"/>
    <col min="769" max="769" width="10.88671875" style="120" customWidth="1"/>
    <col min="770" max="770" width="39.88671875" style="120" customWidth="1"/>
    <col min="771" max="771" width="8.33203125" style="120" customWidth="1"/>
    <col min="772" max="772" width="8.6640625" style="120" customWidth="1"/>
    <col min="773" max="773" width="21.109375" style="120" customWidth="1"/>
    <col min="774" max="774" width="20.33203125" style="120" customWidth="1"/>
    <col min="775" max="780" width="9.109375" style="120"/>
    <col min="781" max="781" width="9.109375" style="120" customWidth="1"/>
    <col min="782" max="1024" width="9.109375" style="120"/>
    <col min="1025" max="1025" width="10.88671875" style="120" customWidth="1"/>
    <col min="1026" max="1026" width="39.88671875" style="120" customWidth="1"/>
    <col min="1027" max="1027" width="8.33203125" style="120" customWidth="1"/>
    <col min="1028" max="1028" width="8.6640625" style="120" customWidth="1"/>
    <col min="1029" max="1029" width="21.109375" style="120" customWidth="1"/>
    <col min="1030" max="1030" width="20.33203125" style="120" customWidth="1"/>
    <col min="1031" max="1036" width="9.109375" style="120"/>
    <col min="1037" max="1037" width="9.109375" style="120" customWidth="1"/>
    <col min="1038" max="1280" width="9.109375" style="120"/>
    <col min="1281" max="1281" width="10.88671875" style="120" customWidth="1"/>
    <col min="1282" max="1282" width="39.88671875" style="120" customWidth="1"/>
    <col min="1283" max="1283" width="8.33203125" style="120" customWidth="1"/>
    <col min="1284" max="1284" width="8.6640625" style="120" customWidth="1"/>
    <col min="1285" max="1285" width="21.109375" style="120" customWidth="1"/>
    <col min="1286" max="1286" width="20.33203125" style="120" customWidth="1"/>
    <col min="1287" max="1292" width="9.109375" style="120"/>
    <col min="1293" max="1293" width="9.109375" style="120" customWidth="1"/>
    <col min="1294" max="1536" width="9.109375" style="120"/>
    <col min="1537" max="1537" width="10.88671875" style="120" customWidth="1"/>
    <col min="1538" max="1538" width="39.88671875" style="120" customWidth="1"/>
    <col min="1539" max="1539" width="8.33203125" style="120" customWidth="1"/>
    <col min="1540" max="1540" width="8.6640625" style="120" customWidth="1"/>
    <col min="1541" max="1541" width="21.109375" style="120" customWidth="1"/>
    <col min="1542" max="1542" width="20.33203125" style="120" customWidth="1"/>
    <col min="1543" max="1548" width="9.109375" style="120"/>
    <col min="1549" max="1549" width="9.109375" style="120" customWidth="1"/>
    <col min="1550" max="1792" width="9.109375" style="120"/>
    <col min="1793" max="1793" width="10.88671875" style="120" customWidth="1"/>
    <col min="1794" max="1794" width="39.88671875" style="120" customWidth="1"/>
    <col min="1795" max="1795" width="8.33203125" style="120" customWidth="1"/>
    <col min="1796" max="1796" width="8.6640625" style="120" customWidth="1"/>
    <col min="1797" max="1797" width="21.109375" style="120" customWidth="1"/>
    <col min="1798" max="1798" width="20.33203125" style="120" customWidth="1"/>
    <col min="1799" max="1804" width="9.109375" style="120"/>
    <col min="1805" max="1805" width="9.109375" style="120" customWidth="1"/>
    <col min="1806" max="2048" width="9.109375" style="120"/>
    <col min="2049" max="2049" width="10.88671875" style="120" customWidth="1"/>
    <col min="2050" max="2050" width="39.88671875" style="120" customWidth="1"/>
    <col min="2051" max="2051" width="8.33203125" style="120" customWidth="1"/>
    <col min="2052" max="2052" width="8.6640625" style="120" customWidth="1"/>
    <col min="2053" max="2053" width="21.109375" style="120" customWidth="1"/>
    <col min="2054" max="2054" width="20.33203125" style="120" customWidth="1"/>
    <col min="2055" max="2060" width="9.109375" style="120"/>
    <col min="2061" max="2061" width="9.109375" style="120" customWidth="1"/>
    <col min="2062" max="2304" width="9.109375" style="120"/>
    <col min="2305" max="2305" width="10.88671875" style="120" customWidth="1"/>
    <col min="2306" max="2306" width="39.88671875" style="120" customWidth="1"/>
    <col min="2307" max="2307" width="8.33203125" style="120" customWidth="1"/>
    <col min="2308" max="2308" width="8.6640625" style="120" customWidth="1"/>
    <col min="2309" max="2309" width="21.109375" style="120" customWidth="1"/>
    <col min="2310" max="2310" width="20.33203125" style="120" customWidth="1"/>
    <col min="2311" max="2316" width="9.109375" style="120"/>
    <col min="2317" max="2317" width="9.109375" style="120" customWidth="1"/>
    <col min="2318" max="2560" width="9.109375" style="120"/>
    <col min="2561" max="2561" width="10.88671875" style="120" customWidth="1"/>
    <col min="2562" max="2562" width="39.88671875" style="120" customWidth="1"/>
    <col min="2563" max="2563" width="8.33203125" style="120" customWidth="1"/>
    <col min="2564" max="2564" width="8.6640625" style="120" customWidth="1"/>
    <col min="2565" max="2565" width="21.109375" style="120" customWidth="1"/>
    <col min="2566" max="2566" width="20.33203125" style="120" customWidth="1"/>
    <col min="2567" max="2572" width="9.109375" style="120"/>
    <col min="2573" max="2573" width="9.109375" style="120" customWidth="1"/>
    <col min="2574" max="2816" width="9.109375" style="120"/>
    <col min="2817" max="2817" width="10.88671875" style="120" customWidth="1"/>
    <col min="2818" max="2818" width="39.88671875" style="120" customWidth="1"/>
    <col min="2819" max="2819" width="8.33203125" style="120" customWidth="1"/>
    <col min="2820" max="2820" width="8.6640625" style="120" customWidth="1"/>
    <col min="2821" max="2821" width="21.109375" style="120" customWidth="1"/>
    <col min="2822" max="2822" width="20.33203125" style="120" customWidth="1"/>
    <col min="2823" max="2828" width="9.109375" style="120"/>
    <col min="2829" max="2829" width="9.109375" style="120" customWidth="1"/>
    <col min="2830" max="3072" width="9.109375" style="120"/>
    <col min="3073" max="3073" width="10.88671875" style="120" customWidth="1"/>
    <col min="3074" max="3074" width="39.88671875" style="120" customWidth="1"/>
    <col min="3075" max="3075" width="8.33203125" style="120" customWidth="1"/>
    <col min="3076" max="3076" width="8.6640625" style="120" customWidth="1"/>
    <col min="3077" max="3077" width="21.109375" style="120" customWidth="1"/>
    <col min="3078" max="3078" width="20.33203125" style="120" customWidth="1"/>
    <col min="3079" max="3084" width="9.109375" style="120"/>
    <col min="3085" max="3085" width="9.109375" style="120" customWidth="1"/>
    <col min="3086" max="3328" width="9.109375" style="120"/>
    <col min="3329" max="3329" width="10.88671875" style="120" customWidth="1"/>
    <col min="3330" max="3330" width="39.88671875" style="120" customWidth="1"/>
    <col min="3331" max="3331" width="8.33203125" style="120" customWidth="1"/>
    <col min="3332" max="3332" width="8.6640625" style="120" customWidth="1"/>
    <col min="3333" max="3333" width="21.109375" style="120" customWidth="1"/>
    <col min="3334" max="3334" width="20.33203125" style="120" customWidth="1"/>
    <col min="3335" max="3340" width="9.109375" style="120"/>
    <col min="3341" max="3341" width="9.109375" style="120" customWidth="1"/>
    <col min="3342" max="3584" width="9.109375" style="120"/>
    <col min="3585" max="3585" width="10.88671875" style="120" customWidth="1"/>
    <col min="3586" max="3586" width="39.88671875" style="120" customWidth="1"/>
    <col min="3587" max="3587" width="8.33203125" style="120" customWidth="1"/>
    <col min="3588" max="3588" width="8.6640625" style="120" customWidth="1"/>
    <col min="3589" max="3589" width="21.109375" style="120" customWidth="1"/>
    <col min="3590" max="3590" width="20.33203125" style="120" customWidth="1"/>
    <col min="3591" max="3596" width="9.109375" style="120"/>
    <col min="3597" max="3597" width="9.109375" style="120" customWidth="1"/>
    <col min="3598" max="3840" width="9.109375" style="120"/>
    <col min="3841" max="3841" width="10.88671875" style="120" customWidth="1"/>
    <col min="3842" max="3842" width="39.88671875" style="120" customWidth="1"/>
    <col min="3843" max="3843" width="8.33203125" style="120" customWidth="1"/>
    <col min="3844" max="3844" width="8.6640625" style="120" customWidth="1"/>
    <col min="3845" max="3845" width="21.109375" style="120" customWidth="1"/>
    <col min="3846" max="3846" width="20.33203125" style="120" customWidth="1"/>
    <col min="3847" max="3852" width="9.109375" style="120"/>
    <col min="3853" max="3853" width="9.109375" style="120" customWidth="1"/>
    <col min="3854" max="4096" width="9.109375" style="120"/>
    <col min="4097" max="4097" width="10.88671875" style="120" customWidth="1"/>
    <col min="4098" max="4098" width="39.88671875" style="120" customWidth="1"/>
    <col min="4099" max="4099" width="8.33203125" style="120" customWidth="1"/>
    <col min="4100" max="4100" width="8.6640625" style="120" customWidth="1"/>
    <col min="4101" max="4101" width="21.109375" style="120" customWidth="1"/>
    <col min="4102" max="4102" width="20.33203125" style="120" customWidth="1"/>
    <col min="4103" max="4108" width="9.109375" style="120"/>
    <col min="4109" max="4109" width="9.109375" style="120" customWidth="1"/>
    <col min="4110" max="4352" width="9.109375" style="120"/>
    <col min="4353" max="4353" width="10.88671875" style="120" customWidth="1"/>
    <col min="4354" max="4354" width="39.88671875" style="120" customWidth="1"/>
    <col min="4355" max="4355" width="8.33203125" style="120" customWidth="1"/>
    <col min="4356" max="4356" width="8.6640625" style="120" customWidth="1"/>
    <col min="4357" max="4357" width="21.109375" style="120" customWidth="1"/>
    <col min="4358" max="4358" width="20.33203125" style="120" customWidth="1"/>
    <col min="4359" max="4364" width="9.109375" style="120"/>
    <col min="4365" max="4365" width="9.109375" style="120" customWidth="1"/>
    <col min="4366" max="4608" width="9.109375" style="120"/>
    <col min="4609" max="4609" width="10.88671875" style="120" customWidth="1"/>
    <col min="4610" max="4610" width="39.88671875" style="120" customWidth="1"/>
    <col min="4611" max="4611" width="8.33203125" style="120" customWidth="1"/>
    <col min="4612" max="4612" width="8.6640625" style="120" customWidth="1"/>
    <col min="4613" max="4613" width="21.109375" style="120" customWidth="1"/>
    <col min="4614" max="4614" width="20.33203125" style="120" customWidth="1"/>
    <col min="4615" max="4620" width="9.109375" style="120"/>
    <col min="4621" max="4621" width="9.109375" style="120" customWidth="1"/>
    <col min="4622" max="4864" width="9.109375" style="120"/>
    <col min="4865" max="4865" width="10.88671875" style="120" customWidth="1"/>
    <col min="4866" max="4866" width="39.88671875" style="120" customWidth="1"/>
    <col min="4867" max="4867" width="8.33203125" style="120" customWidth="1"/>
    <col min="4868" max="4868" width="8.6640625" style="120" customWidth="1"/>
    <col min="4869" max="4869" width="21.109375" style="120" customWidth="1"/>
    <col min="4870" max="4870" width="20.33203125" style="120" customWidth="1"/>
    <col min="4871" max="4876" width="9.109375" style="120"/>
    <col min="4877" max="4877" width="9.109375" style="120" customWidth="1"/>
    <col min="4878" max="5120" width="9.109375" style="120"/>
    <col min="5121" max="5121" width="10.88671875" style="120" customWidth="1"/>
    <col min="5122" max="5122" width="39.88671875" style="120" customWidth="1"/>
    <col min="5123" max="5123" width="8.33203125" style="120" customWidth="1"/>
    <col min="5124" max="5124" width="8.6640625" style="120" customWidth="1"/>
    <col min="5125" max="5125" width="21.109375" style="120" customWidth="1"/>
    <col min="5126" max="5126" width="20.33203125" style="120" customWidth="1"/>
    <col min="5127" max="5132" width="9.109375" style="120"/>
    <col min="5133" max="5133" width="9.109375" style="120" customWidth="1"/>
    <col min="5134" max="5376" width="9.109375" style="120"/>
    <col min="5377" max="5377" width="10.88671875" style="120" customWidth="1"/>
    <col min="5378" max="5378" width="39.88671875" style="120" customWidth="1"/>
    <col min="5379" max="5379" width="8.33203125" style="120" customWidth="1"/>
    <col min="5380" max="5380" width="8.6640625" style="120" customWidth="1"/>
    <col min="5381" max="5381" width="21.109375" style="120" customWidth="1"/>
    <col min="5382" max="5382" width="20.33203125" style="120" customWidth="1"/>
    <col min="5383" max="5388" width="9.109375" style="120"/>
    <col min="5389" max="5389" width="9.109375" style="120" customWidth="1"/>
    <col min="5390" max="5632" width="9.109375" style="120"/>
    <col min="5633" max="5633" width="10.88671875" style="120" customWidth="1"/>
    <col min="5634" max="5634" width="39.88671875" style="120" customWidth="1"/>
    <col min="5635" max="5635" width="8.33203125" style="120" customWidth="1"/>
    <col min="5636" max="5636" width="8.6640625" style="120" customWidth="1"/>
    <col min="5637" max="5637" width="21.109375" style="120" customWidth="1"/>
    <col min="5638" max="5638" width="20.33203125" style="120" customWidth="1"/>
    <col min="5639" max="5644" width="9.109375" style="120"/>
    <col min="5645" max="5645" width="9.109375" style="120" customWidth="1"/>
    <col min="5646" max="5888" width="9.109375" style="120"/>
    <col min="5889" max="5889" width="10.88671875" style="120" customWidth="1"/>
    <col min="5890" max="5890" width="39.88671875" style="120" customWidth="1"/>
    <col min="5891" max="5891" width="8.33203125" style="120" customWidth="1"/>
    <col min="5892" max="5892" width="8.6640625" style="120" customWidth="1"/>
    <col min="5893" max="5893" width="21.109375" style="120" customWidth="1"/>
    <col min="5894" max="5894" width="20.33203125" style="120" customWidth="1"/>
    <col min="5895" max="5900" width="9.109375" style="120"/>
    <col min="5901" max="5901" width="9.109375" style="120" customWidth="1"/>
    <col min="5902" max="6144" width="9.109375" style="120"/>
    <col min="6145" max="6145" width="10.88671875" style="120" customWidth="1"/>
    <col min="6146" max="6146" width="39.88671875" style="120" customWidth="1"/>
    <col min="6147" max="6147" width="8.33203125" style="120" customWidth="1"/>
    <col min="6148" max="6148" width="8.6640625" style="120" customWidth="1"/>
    <col min="6149" max="6149" width="21.109375" style="120" customWidth="1"/>
    <col min="6150" max="6150" width="20.33203125" style="120" customWidth="1"/>
    <col min="6151" max="6156" width="9.109375" style="120"/>
    <col min="6157" max="6157" width="9.109375" style="120" customWidth="1"/>
    <col min="6158" max="6400" width="9.109375" style="120"/>
    <col min="6401" max="6401" width="10.88671875" style="120" customWidth="1"/>
    <col min="6402" max="6402" width="39.88671875" style="120" customWidth="1"/>
    <col min="6403" max="6403" width="8.33203125" style="120" customWidth="1"/>
    <col min="6404" max="6404" width="8.6640625" style="120" customWidth="1"/>
    <col min="6405" max="6405" width="21.109375" style="120" customWidth="1"/>
    <col min="6406" max="6406" width="20.33203125" style="120" customWidth="1"/>
    <col min="6407" max="6412" width="9.109375" style="120"/>
    <col min="6413" max="6413" width="9.109375" style="120" customWidth="1"/>
    <col min="6414" max="6656" width="9.109375" style="120"/>
    <col min="6657" max="6657" width="10.88671875" style="120" customWidth="1"/>
    <col min="6658" max="6658" width="39.88671875" style="120" customWidth="1"/>
    <col min="6659" max="6659" width="8.33203125" style="120" customWidth="1"/>
    <col min="6660" max="6660" width="8.6640625" style="120" customWidth="1"/>
    <col min="6661" max="6661" width="21.109375" style="120" customWidth="1"/>
    <col min="6662" max="6662" width="20.33203125" style="120" customWidth="1"/>
    <col min="6663" max="6668" width="9.109375" style="120"/>
    <col min="6669" max="6669" width="9.109375" style="120" customWidth="1"/>
    <col min="6670" max="6912" width="9.109375" style="120"/>
    <col min="6913" max="6913" width="10.88671875" style="120" customWidth="1"/>
    <col min="6914" max="6914" width="39.88671875" style="120" customWidth="1"/>
    <col min="6915" max="6915" width="8.33203125" style="120" customWidth="1"/>
    <col min="6916" max="6916" width="8.6640625" style="120" customWidth="1"/>
    <col min="6917" max="6917" width="21.109375" style="120" customWidth="1"/>
    <col min="6918" max="6918" width="20.33203125" style="120" customWidth="1"/>
    <col min="6919" max="6924" width="9.109375" style="120"/>
    <col min="6925" max="6925" width="9.109375" style="120" customWidth="1"/>
    <col min="6926" max="7168" width="9.109375" style="120"/>
    <col min="7169" max="7169" width="10.88671875" style="120" customWidth="1"/>
    <col min="7170" max="7170" width="39.88671875" style="120" customWidth="1"/>
    <col min="7171" max="7171" width="8.33203125" style="120" customWidth="1"/>
    <col min="7172" max="7172" width="8.6640625" style="120" customWidth="1"/>
    <col min="7173" max="7173" width="21.109375" style="120" customWidth="1"/>
    <col min="7174" max="7174" width="20.33203125" style="120" customWidth="1"/>
    <col min="7175" max="7180" width="9.109375" style="120"/>
    <col min="7181" max="7181" width="9.109375" style="120" customWidth="1"/>
    <col min="7182" max="7424" width="9.109375" style="120"/>
    <col min="7425" max="7425" width="10.88671875" style="120" customWidth="1"/>
    <col min="7426" max="7426" width="39.88671875" style="120" customWidth="1"/>
    <col min="7427" max="7427" width="8.33203125" style="120" customWidth="1"/>
    <col min="7428" max="7428" width="8.6640625" style="120" customWidth="1"/>
    <col min="7429" max="7429" width="21.109375" style="120" customWidth="1"/>
    <col min="7430" max="7430" width="20.33203125" style="120" customWidth="1"/>
    <col min="7431" max="7436" width="9.109375" style="120"/>
    <col min="7437" max="7437" width="9.109375" style="120" customWidth="1"/>
    <col min="7438" max="7680" width="9.109375" style="120"/>
    <col min="7681" max="7681" width="10.88671875" style="120" customWidth="1"/>
    <col min="7682" max="7682" width="39.88671875" style="120" customWidth="1"/>
    <col min="7683" max="7683" width="8.33203125" style="120" customWidth="1"/>
    <col min="7684" max="7684" width="8.6640625" style="120" customWidth="1"/>
    <col min="7685" max="7685" width="21.109375" style="120" customWidth="1"/>
    <col min="7686" max="7686" width="20.33203125" style="120" customWidth="1"/>
    <col min="7687" max="7692" width="9.109375" style="120"/>
    <col min="7693" max="7693" width="9.109375" style="120" customWidth="1"/>
    <col min="7694" max="7936" width="9.109375" style="120"/>
    <col min="7937" max="7937" width="10.88671875" style="120" customWidth="1"/>
    <col min="7938" max="7938" width="39.88671875" style="120" customWidth="1"/>
    <col min="7939" max="7939" width="8.33203125" style="120" customWidth="1"/>
    <col min="7940" max="7940" width="8.6640625" style="120" customWidth="1"/>
    <col min="7941" max="7941" width="21.109375" style="120" customWidth="1"/>
    <col min="7942" max="7942" width="20.33203125" style="120" customWidth="1"/>
    <col min="7943" max="7948" width="9.109375" style="120"/>
    <col min="7949" max="7949" width="9.109375" style="120" customWidth="1"/>
    <col min="7950" max="8192" width="9.109375" style="120"/>
    <col min="8193" max="8193" width="10.88671875" style="120" customWidth="1"/>
    <col min="8194" max="8194" width="39.88671875" style="120" customWidth="1"/>
    <col min="8195" max="8195" width="8.33203125" style="120" customWidth="1"/>
    <col min="8196" max="8196" width="8.6640625" style="120" customWidth="1"/>
    <col min="8197" max="8197" width="21.109375" style="120" customWidth="1"/>
    <col min="8198" max="8198" width="20.33203125" style="120" customWidth="1"/>
    <col min="8199" max="8204" width="9.109375" style="120"/>
    <col min="8205" max="8205" width="9.109375" style="120" customWidth="1"/>
    <col min="8206" max="8448" width="9.109375" style="120"/>
    <col min="8449" max="8449" width="10.88671875" style="120" customWidth="1"/>
    <col min="8450" max="8450" width="39.88671875" style="120" customWidth="1"/>
    <col min="8451" max="8451" width="8.33203125" style="120" customWidth="1"/>
    <col min="8452" max="8452" width="8.6640625" style="120" customWidth="1"/>
    <col min="8453" max="8453" width="21.109375" style="120" customWidth="1"/>
    <col min="8454" max="8454" width="20.33203125" style="120" customWidth="1"/>
    <col min="8455" max="8460" width="9.109375" style="120"/>
    <col min="8461" max="8461" width="9.109375" style="120" customWidth="1"/>
    <col min="8462" max="8704" width="9.109375" style="120"/>
    <col min="8705" max="8705" width="10.88671875" style="120" customWidth="1"/>
    <col min="8706" max="8706" width="39.88671875" style="120" customWidth="1"/>
    <col min="8707" max="8707" width="8.33203125" style="120" customWidth="1"/>
    <col min="8708" max="8708" width="8.6640625" style="120" customWidth="1"/>
    <col min="8709" max="8709" width="21.109375" style="120" customWidth="1"/>
    <col min="8710" max="8710" width="20.33203125" style="120" customWidth="1"/>
    <col min="8711" max="8716" width="9.109375" style="120"/>
    <col min="8717" max="8717" width="9.109375" style="120" customWidth="1"/>
    <col min="8718" max="8960" width="9.109375" style="120"/>
    <col min="8961" max="8961" width="10.88671875" style="120" customWidth="1"/>
    <col min="8962" max="8962" width="39.88671875" style="120" customWidth="1"/>
    <col min="8963" max="8963" width="8.33203125" style="120" customWidth="1"/>
    <col min="8964" max="8964" width="8.6640625" style="120" customWidth="1"/>
    <col min="8965" max="8965" width="21.109375" style="120" customWidth="1"/>
    <col min="8966" max="8966" width="20.33203125" style="120" customWidth="1"/>
    <col min="8967" max="8972" width="9.109375" style="120"/>
    <col min="8973" max="8973" width="9.109375" style="120" customWidth="1"/>
    <col min="8974" max="9216" width="9.109375" style="120"/>
    <col min="9217" max="9217" width="10.88671875" style="120" customWidth="1"/>
    <col min="9218" max="9218" width="39.88671875" style="120" customWidth="1"/>
    <col min="9219" max="9219" width="8.33203125" style="120" customWidth="1"/>
    <col min="9220" max="9220" width="8.6640625" style="120" customWidth="1"/>
    <col min="9221" max="9221" width="21.109375" style="120" customWidth="1"/>
    <col min="9222" max="9222" width="20.33203125" style="120" customWidth="1"/>
    <col min="9223" max="9228" width="9.109375" style="120"/>
    <col min="9229" max="9229" width="9.109375" style="120" customWidth="1"/>
    <col min="9230" max="9472" width="9.109375" style="120"/>
    <col min="9473" max="9473" width="10.88671875" style="120" customWidth="1"/>
    <col min="9474" max="9474" width="39.88671875" style="120" customWidth="1"/>
    <col min="9475" max="9475" width="8.33203125" style="120" customWidth="1"/>
    <col min="9476" max="9476" width="8.6640625" style="120" customWidth="1"/>
    <col min="9477" max="9477" width="21.109375" style="120" customWidth="1"/>
    <col min="9478" max="9478" width="20.33203125" style="120" customWidth="1"/>
    <col min="9479" max="9484" width="9.109375" style="120"/>
    <col min="9485" max="9485" width="9.109375" style="120" customWidth="1"/>
    <col min="9486" max="9728" width="9.109375" style="120"/>
    <col min="9729" max="9729" width="10.88671875" style="120" customWidth="1"/>
    <col min="9730" max="9730" width="39.88671875" style="120" customWidth="1"/>
    <col min="9731" max="9731" width="8.33203125" style="120" customWidth="1"/>
    <col min="9732" max="9732" width="8.6640625" style="120" customWidth="1"/>
    <col min="9733" max="9733" width="21.109375" style="120" customWidth="1"/>
    <col min="9734" max="9734" width="20.33203125" style="120" customWidth="1"/>
    <col min="9735" max="9740" width="9.109375" style="120"/>
    <col min="9741" max="9741" width="9.109375" style="120" customWidth="1"/>
    <col min="9742" max="9984" width="9.109375" style="120"/>
    <col min="9985" max="9985" width="10.88671875" style="120" customWidth="1"/>
    <col min="9986" max="9986" width="39.88671875" style="120" customWidth="1"/>
    <col min="9987" max="9987" width="8.33203125" style="120" customWidth="1"/>
    <col min="9988" max="9988" width="8.6640625" style="120" customWidth="1"/>
    <col min="9989" max="9989" width="21.109375" style="120" customWidth="1"/>
    <col min="9990" max="9990" width="20.33203125" style="120" customWidth="1"/>
    <col min="9991" max="9996" width="9.109375" style="120"/>
    <col min="9997" max="9997" width="9.109375" style="120" customWidth="1"/>
    <col min="9998" max="10240" width="9.109375" style="120"/>
    <col min="10241" max="10241" width="10.88671875" style="120" customWidth="1"/>
    <col min="10242" max="10242" width="39.88671875" style="120" customWidth="1"/>
    <col min="10243" max="10243" width="8.33203125" style="120" customWidth="1"/>
    <col min="10244" max="10244" width="8.6640625" style="120" customWidth="1"/>
    <col min="10245" max="10245" width="21.109375" style="120" customWidth="1"/>
    <col min="10246" max="10246" width="20.33203125" style="120" customWidth="1"/>
    <col min="10247" max="10252" width="9.109375" style="120"/>
    <col min="10253" max="10253" width="9.109375" style="120" customWidth="1"/>
    <col min="10254" max="10496" width="9.109375" style="120"/>
    <col min="10497" max="10497" width="10.88671875" style="120" customWidth="1"/>
    <col min="10498" max="10498" width="39.88671875" style="120" customWidth="1"/>
    <col min="10499" max="10499" width="8.33203125" style="120" customWidth="1"/>
    <col min="10500" max="10500" width="8.6640625" style="120" customWidth="1"/>
    <col min="10501" max="10501" width="21.109375" style="120" customWidth="1"/>
    <col min="10502" max="10502" width="20.33203125" style="120" customWidth="1"/>
    <col min="10503" max="10508" width="9.109375" style="120"/>
    <col min="10509" max="10509" width="9.109375" style="120" customWidth="1"/>
    <col min="10510" max="10752" width="9.109375" style="120"/>
    <col min="10753" max="10753" width="10.88671875" style="120" customWidth="1"/>
    <col min="10754" max="10754" width="39.88671875" style="120" customWidth="1"/>
    <col min="10755" max="10755" width="8.33203125" style="120" customWidth="1"/>
    <col min="10756" max="10756" width="8.6640625" style="120" customWidth="1"/>
    <col min="10757" max="10757" width="21.109375" style="120" customWidth="1"/>
    <col min="10758" max="10758" width="20.33203125" style="120" customWidth="1"/>
    <col min="10759" max="10764" width="9.109375" style="120"/>
    <col min="10765" max="10765" width="9.109375" style="120" customWidth="1"/>
    <col min="10766" max="11008" width="9.109375" style="120"/>
    <col min="11009" max="11009" width="10.88671875" style="120" customWidth="1"/>
    <col min="11010" max="11010" width="39.88671875" style="120" customWidth="1"/>
    <col min="11011" max="11011" width="8.33203125" style="120" customWidth="1"/>
    <col min="11012" max="11012" width="8.6640625" style="120" customWidth="1"/>
    <col min="11013" max="11013" width="21.109375" style="120" customWidth="1"/>
    <col min="11014" max="11014" width="20.33203125" style="120" customWidth="1"/>
    <col min="11015" max="11020" width="9.109375" style="120"/>
    <col min="11021" max="11021" width="9.109375" style="120" customWidth="1"/>
    <col min="11022" max="11264" width="9.109375" style="120"/>
    <col min="11265" max="11265" width="10.88671875" style="120" customWidth="1"/>
    <col min="11266" max="11266" width="39.88671875" style="120" customWidth="1"/>
    <col min="11267" max="11267" width="8.33203125" style="120" customWidth="1"/>
    <col min="11268" max="11268" width="8.6640625" style="120" customWidth="1"/>
    <col min="11269" max="11269" width="21.109375" style="120" customWidth="1"/>
    <col min="11270" max="11270" width="20.33203125" style="120" customWidth="1"/>
    <col min="11271" max="11276" width="9.109375" style="120"/>
    <col min="11277" max="11277" width="9.109375" style="120" customWidth="1"/>
    <col min="11278" max="11520" width="9.109375" style="120"/>
    <col min="11521" max="11521" width="10.88671875" style="120" customWidth="1"/>
    <col min="11522" max="11522" width="39.88671875" style="120" customWidth="1"/>
    <col min="11523" max="11523" width="8.33203125" style="120" customWidth="1"/>
    <col min="11524" max="11524" width="8.6640625" style="120" customWidth="1"/>
    <col min="11525" max="11525" width="21.109375" style="120" customWidth="1"/>
    <col min="11526" max="11526" width="20.33203125" style="120" customWidth="1"/>
    <col min="11527" max="11532" width="9.109375" style="120"/>
    <col min="11533" max="11533" width="9.109375" style="120" customWidth="1"/>
    <col min="11534" max="11776" width="9.109375" style="120"/>
    <col min="11777" max="11777" width="10.88671875" style="120" customWidth="1"/>
    <col min="11778" max="11778" width="39.88671875" style="120" customWidth="1"/>
    <col min="11779" max="11779" width="8.33203125" style="120" customWidth="1"/>
    <col min="11780" max="11780" width="8.6640625" style="120" customWidth="1"/>
    <col min="11781" max="11781" width="21.109375" style="120" customWidth="1"/>
    <col min="11782" max="11782" width="20.33203125" style="120" customWidth="1"/>
    <col min="11783" max="11788" width="9.109375" style="120"/>
    <col min="11789" max="11789" width="9.109375" style="120" customWidth="1"/>
    <col min="11790" max="12032" width="9.109375" style="120"/>
    <col min="12033" max="12033" width="10.88671875" style="120" customWidth="1"/>
    <col min="12034" max="12034" width="39.88671875" style="120" customWidth="1"/>
    <col min="12035" max="12035" width="8.33203125" style="120" customWidth="1"/>
    <col min="12036" max="12036" width="8.6640625" style="120" customWidth="1"/>
    <col min="12037" max="12037" width="21.109375" style="120" customWidth="1"/>
    <col min="12038" max="12038" width="20.33203125" style="120" customWidth="1"/>
    <col min="12039" max="12044" width="9.109375" style="120"/>
    <col min="12045" max="12045" width="9.109375" style="120" customWidth="1"/>
    <col min="12046" max="12288" width="9.109375" style="120"/>
    <col min="12289" max="12289" width="10.88671875" style="120" customWidth="1"/>
    <col min="12290" max="12290" width="39.88671875" style="120" customWidth="1"/>
    <col min="12291" max="12291" width="8.33203125" style="120" customWidth="1"/>
    <col min="12292" max="12292" width="8.6640625" style="120" customWidth="1"/>
    <col min="12293" max="12293" width="21.109375" style="120" customWidth="1"/>
    <col min="12294" max="12294" width="20.33203125" style="120" customWidth="1"/>
    <col min="12295" max="12300" width="9.109375" style="120"/>
    <col min="12301" max="12301" width="9.109375" style="120" customWidth="1"/>
    <col min="12302" max="12544" width="9.109375" style="120"/>
    <col min="12545" max="12545" width="10.88671875" style="120" customWidth="1"/>
    <col min="12546" max="12546" width="39.88671875" style="120" customWidth="1"/>
    <col min="12547" max="12547" width="8.33203125" style="120" customWidth="1"/>
    <col min="12548" max="12548" width="8.6640625" style="120" customWidth="1"/>
    <col min="12549" max="12549" width="21.109375" style="120" customWidth="1"/>
    <col min="12550" max="12550" width="20.33203125" style="120" customWidth="1"/>
    <col min="12551" max="12556" width="9.109375" style="120"/>
    <col min="12557" max="12557" width="9.109375" style="120" customWidth="1"/>
    <col min="12558" max="12800" width="9.109375" style="120"/>
    <col min="12801" max="12801" width="10.88671875" style="120" customWidth="1"/>
    <col min="12802" max="12802" width="39.88671875" style="120" customWidth="1"/>
    <col min="12803" max="12803" width="8.33203125" style="120" customWidth="1"/>
    <col min="12804" max="12804" width="8.6640625" style="120" customWidth="1"/>
    <col min="12805" max="12805" width="21.109375" style="120" customWidth="1"/>
    <col min="12806" max="12806" width="20.33203125" style="120" customWidth="1"/>
    <col min="12807" max="12812" width="9.109375" style="120"/>
    <col min="12813" max="12813" width="9.109375" style="120" customWidth="1"/>
    <col min="12814" max="13056" width="9.109375" style="120"/>
    <col min="13057" max="13057" width="10.88671875" style="120" customWidth="1"/>
    <col min="13058" max="13058" width="39.88671875" style="120" customWidth="1"/>
    <col min="13059" max="13059" width="8.33203125" style="120" customWidth="1"/>
    <col min="13060" max="13060" width="8.6640625" style="120" customWidth="1"/>
    <col min="13061" max="13061" width="21.109375" style="120" customWidth="1"/>
    <col min="13062" max="13062" width="20.33203125" style="120" customWidth="1"/>
    <col min="13063" max="13068" width="9.109375" style="120"/>
    <col min="13069" max="13069" width="9.109375" style="120" customWidth="1"/>
    <col min="13070" max="13312" width="9.109375" style="120"/>
    <col min="13313" max="13313" width="10.88671875" style="120" customWidth="1"/>
    <col min="13314" max="13314" width="39.88671875" style="120" customWidth="1"/>
    <col min="13315" max="13315" width="8.33203125" style="120" customWidth="1"/>
    <col min="13316" max="13316" width="8.6640625" style="120" customWidth="1"/>
    <col min="13317" max="13317" width="21.109375" style="120" customWidth="1"/>
    <col min="13318" max="13318" width="20.33203125" style="120" customWidth="1"/>
    <col min="13319" max="13324" width="9.109375" style="120"/>
    <col min="13325" max="13325" width="9.109375" style="120" customWidth="1"/>
    <col min="13326" max="13568" width="9.109375" style="120"/>
    <col min="13569" max="13569" width="10.88671875" style="120" customWidth="1"/>
    <col min="13570" max="13570" width="39.88671875" style="120" customWidth="1"/>
    <col min="13571" max="13571" width="8.33203125" style="120" customWidth="1"/>
    <col min="13572" max="13572" width="8.6640625" style="120" customWidth="1"/>
    <col min="13573" max="13573" width="21.109375" style="120" customWidth="1"/>
    <col min="13574" max="13574" width="20.33203125" style="120" customWidth="1"/>
    <col min="13575" max="13580" width="9.109375" style="120"/>
    <col min="13581" max="13581" width="9.109375" style="120" customWidth="1"/>
    <col min="13582" max="13824" width="9.109375" style="120"/>
    <col min="13825" max="13825" width="10.88671875" style="120" customWidth="1"/>
    <col min="13826" max="13826" width="39.88671875" style="120" customWidth="1"/>
    <col min="13827" max="13827" width="8.33203125" style="120" customWidth="1"/>
    <col min="13828" max="13828" width="8.6640625" style="120" customWidth="1"/>
    <col min="13829" max="13829" width="21.109375" style="120" customWidth="1"/>
    <col min="13830" max="13830" width="20.33203125" style="120" customWidth="1"/>
    <col min="13831" max="13836" width="9.109375" style="120"/>
    <col min="13837" max="13837" width="9.109375" style="120" customWidth="1"/>
    <col min="13838" max="14080" width="9.109375" style="120"/>
    <col min="14081" max="14081" width="10.88671875" style="120" customWidth="1"/>
    <col min="14082" max="14082" width="39.88671875" style="120" customWidth="1"/>
    <col min="14083" max="14083" width="8.33203125" style="120" customWidth="1"/>
    <col min="14084" max="14084" width="8.6640625" style="120" customWidth="1"/>
    <col min="14085" max="14085" width="21.109375" style="120" customWidth="1"/>
    <col min="14086" max="14086" width="20.33203125" style="120" customWidth="1"/>
    <col min="14087" max="14092" width="9.109375" style="120"/>
    <col min="14093" max="14093" width="9.109375" style="120" customWidth="1"/>
    <col min="14094" max="14336" width="9.109375" style="120"/>
    <col min="14337" max="14337" width="10.88671875" style="120" customWidth="1"/>
    <col min="14338" max="14338" width="39.88671875" style="120" customWidth="1"/>
    <col min="14339" max="14339" width="8.33203125" style="120" customWidth="1"/>
    <col min="14340" max="14340" width="8.6640625" style="120" customWidth="1"/>
    <col min="14341" max="14341" width="21.109375" style="120" customWidth="1"/>
    <col min="14342" max="14342" width="20.33203125" style="120" customWidth="1"/>
    <col min="14343" max="14348" width="9.109375" style="120"/>
    <col min="14349" max="14349" width="9.109375" style="120" customWidth="1"/>
    <col min="14350" max="14592" width="9.109375" style="120"/>
    <col min="14593" max="14593" width="10.88671875" style="120" customWidth="1"/>
    <col min="14594" max="14594" width="39.88671875" style="120" customWidth="1"/>
    <col min="14595" max="14595" width="8.33203125" style="120" customWidth="1"/>
    <col min="14596" max="14596" width="8.6640625" style="120" customWidth="1"/>
    <col min="14597" max="14597" width="21.109375" style="120" customWidth="1"/>
    <col min="14598" max="14598" width="20.33203125" style="120" customWidth="1"/>
    <col min="14599" max="14604" width="9.109375" style="120"/>
    <col min="14605" max="14605" width="9.109375" style="120" customWidth="1"/>
    <col min="14606" max="14848" width="9.109375" style="120"/>
    <col min="14849" max="14849" width="10.88671875" style="120" customWidth="1"/>
    <col min="14850" max="14850" width="39.88671875" style="120" customWidth="1"/>
    <col min="14851" max="14851" width="8.33203125" style="120" customWidth="1"/>
    <col min="14852" max="14852" width="8.6640625" style="120" customWidth="1"/>
    <col min="14853" max="14853" width="21.109375" style="120" customWidth="1"/>
    <col min="14854" max="14854" width="20.33203125" style="120" customWidth="1"/>
    <col min="14855" max="14860" width="9.109375" style="120"/>
    <col min="14861" max="14861" width="9.109375" style="120" customWidth="1"/>
    <col min="14862" max="15104" width="9.109375" style="120"/>
    <col min="15105" max="15105" width="10.88671875" style="120" customWidth="1"/>
    <col min="15106" max="15106" width="39.88671875" style="120" customWidth="1"/>
    <col min="15107" max="15107" width="8.33203125" style="120" customWidth="1"/>
    <col min="15108" max="15108" width="8.6640625" style="120" customWidth="1"/>
    <col min="15109" max="15109" width="21.109375" style="120" customWidth="1"/>
    <col min="15110" max="15110" width="20.33203125" style="120" customWidth="1"/>
    <col min="15111" max="15116" width="9.109375" style="120"/>
    <col min="15117" max="15117" width="9.109375" style="120" customWidth="1"/>
    <col min="15118" max="15360" width="9.109375" style="120"/>
    <col min="15361" max="15361" width="10.88671875" style="120" customWidth="1"/>
    <col min="15362" max="15362" width="39.88671875" style="120" customWidth="1"/>
    <col min="15363" max="15363" width="8.33203125" style="120" customWidth="1"/>
    <col min="15364" max="15364" width="8.6640625" style="120" customWidth="1"/>
    <col min="15365" max="15365" width="21.109375" style="120" customWidth="1"/>
    <col min="15366" max="15366" width="20.33203125" style="120" customWidth="1"/>
    <col min="15367" max="15372" width="9.109375" style="120"/>
    <col min="15373" max="15373" width="9.109375" style="120" customWidth="1"/>
    <col min="15374" max="15616" width="9.109375" style="120"/>
    <col min="15617" max="15617" width="10.88671875" style="120" customWidth="1"/>
    <col min="15618" max="15618" width="39.88671875" style="120" customWidth="1"/>
    <col min="15619" max="15619" width="8.33203125" style="120" customWidth="1"/>
    <col min="15620" max="15620" width="8.6640625" style="120" customWidth="1"/>
    <col min="15621" max="15621" width="21.109375" style="120" customWidth="1"/>
    <col min="15622" max="15622" width="20.33203125" style="120" customWidth="1"/>
    <col min="15623" max="15628" width="9.109375" style="120"/>
    <col min="15629" max="15629" width="9.109375" style="120" customWidth="1"/>
    <col min="15630" max="15872" width="9.109375" style="120"/>
    <col min="15873" max="15873" width="10.88671875" style="120" customWidth="1"/>
    <col min="15874" max="15874" width="39.88671875" style="120" customWidth="1"/>
    <col min="15875" max="15875" width="8.33203125" style="120" customWidth="1"/>
    <col min="15876" max="15876" width="8.6640625" style="120" customWidth="1"/>
    <col min="15877" max="15877" width="21.109375" style="120" customWidth="1"/>
    <col min="15878" max="15878" width="20.33203125" style="120" customWidth="1"/>
    <col min="15879" max="15884" width="9.109375" style="120"/>
    <col min="15885" max="15885" width="9.109375" style="120" customWidth="1"/>
    <col min="15886" max="16128" width="9.109375" style="120"/>
    <col min="16129" max="16129" width="10.88671875" style="120" customWidth="1"/>
    <col min="16130" max="16130" width="39.88671875" style="120" customWidth="1"/>
    <col min="16131" max="16131" width="8.33203125" style="120" customWidth="1"/>
    <col min="16132" max="16132" width="8.6640625" style="120" customWidth="1"/>
    <col min="16133" max="16133" width="21.109375" style="120" customWidth="1"/>
    <col min="16134" max="16134" width="20.33203125" style="120" customWidth="1"/>
    <col min="16135" max="16140" width="9.109375" style="120"/>
    <col min="16141" max="16141" width="9.109375" style="120" customWidth="1"/>
    <col min="16142" max="16384" width="9.109375" style="120"/>
  </cols>
  <sheetData>
    <row r="1" spans="1:9" ht="15.6" x14ac:dyDescent="0.3">
      <c r="A1" s="741" t="s">
        <v>1590</v>
      </c>
      <c r="B1" s="741"/>
      <c r="C1" s="741"/>
      <c r="D1" s="741"/>
      <c r="E1" s="741"/>
      <c r="F1" s="741"/>
      <c r="G1" s="770"/>
      <c r="H1" s="770"/>
      <c r="I1" s="770"/>
    </row>
    <row r="2" spans="1:9" ht="16.2" thickBot="1" x14ac:dyDescent="0.3">
      <c r="A2" s="121"/>
      <c r="B2" s="122"/>
      <c r="C2" s="122"/>
      <c r="D2" s="122"/>
      <c r="E2" s="123"/>
      <c r="F2" s="124"/>
      <c r="G2" s="771"/>
      <c r="H2" s="771"/>
      <c r="I2" s="771"/>
    </row>
    <row r="3" spans="1:9" ht="24" x14ac:dyDescent="0.25">
      <c r="A3" s="125" t="s">
        <v>468</v>
      </c>
      <c r="B3" s="126" t="s">
        <v>469</v>
      </c>
      <c r="C3" s="127" t="s">
        <v>470</v>
      </c>
      <c r="D3" s="128" t="s">
        <v>471</v>
      </c>
      <c r="E3" s="127" t="s">
        <v>472</v>
      </c>
      <c r="F3" s="129" t="s">
        <v>473</v>
      </c>
      <c r="G3" s="694" t="s">
        <v>1580</v>
      </c>
    </row>
    <row r="4" spans="1:9" ht="216" x14ac:dyDescent="0.25">
      <c r="A4" s="130"/>
      <c r="B4" s="131" t="s">
        <v>1791</v>
      </c>
      <c r="C4" s="132"/>
      <c r="D4" s="133"/>
      <c r="E4" s="132"/>
      <c r="F4" s="134"/>
    </row>
    <row r="5" spans="1:9" s="140" customFormat="1" ht="50.4" customHeight="1" x14ac:dyDescent="0.25">
      <c r="A5" s="135" t="s">
        <v>474</v>
      </c>
      <c r="B5" s="136" t="s">
        <v>475</v>
      </c>
      <c r="C5" s="137"/>
      <c r="D5" s="138"/>
      <c r="E5" s="137"/>
      <c r="F5" s="139"/>
    </row>
    <row r="6" spans="1:9" s="148" customFormat="1" ht="34.200000000000003" x14ac:dyDescent="0.2">
      <c r="A6" s="141" t="s">
        <v>11</v>
      </c>
      <c r="B6" s="142" t="s">
        <v>476</v>
      </c>
      <c r="C6" s="143" t="s">
        <v>477</v>
      </c>
      <c r="D6" s="144">
        <v>1</v>
      </c>
      <c r="E6" s="145"/>
      <c r="F6" s="146">
        <f>D6*E6</f>
        <v>0</v>
      </c>
      <c r="G6" s="772"/>
    </row>
    <row r="7" spans="1:9" s="148" customFormat="1" x14ac:dyDescent="0.2">
      <c r="A7" s="141"/>
      <c r="B7" s="142"/>
      <c r="C7" s="143"/>
      <c r="D7" s="144"/>
      <c r="E7" s="145"/>
      <c r="F7" s="146"/>
      <c r="G7" s="772"/>
    </row>
    <row r="8" spans="1:9" s="148" customFormat="1" x14ac:dyDescent="0.2">
      <c r="A8" s="141"/>
      <c r="B8" s="142" t="s">
        <v>478</v>
      </c>
      <c r="C8" s="143"/>
      <c r="D8" s="144"/>
      <c r="E8" s="145"/>
      <c r="F8" s="146"/>
      <c r="G8" s="772"/>
    </row>
    <row r="9" spans="1:9" s="148" customFormat="1" x14ac:dyDescent="0.2">
      <c r="A9" s="141"/>
      <c r="B9" s="142" t="s">
        <v>479</v>
      </c>
      <c r="C9" s="143"/>
      <c r="D9" s="144"/>
      <c r="E9" s="145"/>
      <c r="F9" s="146"/>
      <c r="G9" s="772"/>
    </row>
    <row r="10" spans="1:9" s="148" customFormat="1" x14ac:dyDescent="0.2">
      <c r="A10" s="141"/>
      <c r="B10" s="142" t="s">
        <v>480</v>
      </c>
      <c r="C10" s="143"/>
      <c r="D10" s="144"/>
      <c r="E10" s="145"/>
      <c r="F10" s="146"/>
      <c r="G10" s="772"/>
    </row>
    <row r="11" spans="1:9" s="148" customFormat="1" x14ac:dyDescent="0.2">
      <c r="A11" s="141"/>
      <c r="B11" s="142" t="s">
        <v>481</v>
      </c>
      <c r="C11" s="143"/>
      <c r="D11" s="144"/>
      <c r="E11" s="145"/>
      <c r="F11" s="146"/>
      <c r="G11" s="772"/>
    </row>
    <row r="12" spans="1:9" s="148" customFormat="1" x14ac:dyDescent="0.2">
      <c r="A12" s="141"/>
      <c r="B12" s="142" t="s">
        <v>482</v>
      </c>
      <c r="C12" s="143"/>
      <c r="D12" s="144"/>
      <c r="E12" s="145"/>
      <c r="F12" s="146"/>
      <c r="G12" s="772"/>
    </row>
    <row r="13" spans="1:9" s="148" customFormat="1" x14ac:dyDescent="0.2">
      <c r="A13" s="141"/>
      <c r="B13" s="142" t="s">
        <v>483</v>
      </c>
      <c r="C13" s="143"/>
      <c r="D13" s="144"/>
      <c r="E13" s="145"/>
      <c r="F13" s="146"/>
      <c r="G13" s="772"/>
    </row>
    <row r="14" spans="1:9" s="148" customFormat="1" x14ac:dyDescent="0.2">
      <c r="A14" s="141"/>
      <c r="B14" s="142" t="s">
        <v>484</v>
      </c>
      <c r="C14" s="143"/>
      <c r="D14" s="144"/>
      <c r="E14" s="145"/>
      <c r="F14" s="146"/>
      <c r="G14" s="772"/>
    </row>
    <row r="15" spans="1:9" s="148" customFormat="1" ht="24" x14ac:dyDescent="0.2">
      <c r="A15" s="141"/>
      <c r="B15" s="142" t="s">
        <v>1649</v>
      </c>
      <c r="C15" s="143"/>
      <c r="D15" s="144"/>
      <c r="E15" s="145"/>
      <c r="F15" s="146"/>
      <c r="G15" s="772"/>
    </row>
    <row r="16" spans="1:9" s="148" customFormat="1" ht="46.8" x14ac:dyDescent="0.2">
      <c r="A16" s="149" t="s">
        <v>485</v>
      </c>
      <c r="B16" s="142" t="s">
        <v>1650</v>
      </c>
      <c r="C16" s="143" t="s">
        <v>86</v>
      </c>
      <c r="D16" s="144">
        <v>2</v>
      </c>
      <c r="E16" s="145"/>
      <c r="F16" s="146">
        <f>D16*E16</f>
        <v>0</v>
      </c>
      <c r="G16" s="696"/>
    </row>
    <row r="17" spans="1:7" s="148" customFormat="1" ht="35.4" x14ac:dyDescent="0.2">
      <c r="A17" s="149" t="s">
        <v>486</v>
      </c>
      <c r="B17" s="142" t="s">
        <v>1651</v>
      </c>
      <c r="C17" s="143" t="s">
        <v>487</v>
      </c>
      <c r="D17" s="144">
        <v>1</v>
      </c>
      <c r="E17" s="145"/>
      <c r="F17" s="146">
        <f>D17*E17</f>
        <v>0</v>
      </c>
      <c r="G17" s="696"/>
    </row>
    <row r="18" spans="1:7" s="148" customFormat="1" ht="46.8" x14ac:dyDescent="0.2">
      <c r="A18" s="149" t="s">
        <v>488</v>
      </c>
      <c r="B18" s="142" t="s">
        <v>1652</v>
      </c>
      <c r="C18" s="143" t="s">
        <v>487</v>
      </c>
      <c r="D18" s="144">
        <v>1</v>
      </c>
      <c r="E18" s="145"/>
      <c r="F18" s="146">
        <f>D18*E18</f>
        <v>0</v>
      </c>
      <c r="G18" s="696"/>
    </row>
    <row r="19" spans="1:7" s="148" customFormat="1" ht="46.8" x14ac:dyDescent="0.2">
      <c r="A19" s="149" t="s">
        <v>489</v>
      </c>
      <c r="B19" s="142" t="s">
        <v>1653</v>
      </c>
      <c r="C19" s="143" t="s">
        <v>487</v>
      </c>
      <c r="D19" s="144">
        <v>1</v>
      </c>
      <c r="E19" s="145"/>
      <c r="F19" s="146">
        <f>D19*E19</f>
        <v>0</v>
      </c>
      <c r="G19" s="696"/>
    </row>
    <row r="20" spans="1:7" s="148" customFormat="1" ht="35.4" x14ac:dyDescent="0.2">
      <c r="A20" s="149" t="s">
        <v>490</v>
      </c>
      <c r="B20" s="142" t="s">
        <v>1654</v>
      </c>
      <c r="C20" s="143" t="s">
        <v>86</v>
      </c>
      <c r="D20" s="144">
        <v>1</v>
      </c>
      <c r="E20" s="145"/>
      <c r="F20" s="146">
        <f t="shared" ref="F20:F70" si="0">D20*E20</f>
        <v>0</v>
      </c>
      <c r="G20" s="696"/>
    </row>
    <row r="21" spans="1:7" s="148" customFormat="1" ht="35.4" x14ac:dyDescent="0.2">
      <c r="A21" s="149" t="s">
        <v>491</v>
      </c>
      <c r="B21" s="142" t="s">
        <v>1655</v>
      </c>
      <c r="C21" s="143" t="s">
        <v>86</v>
      </c>
      <c r="D21" s="144">
        <v>1</v>
      </c>
      <c r="E21" s="145"/>
      <c r="F21" s="146">
        <f t="shared" si="0"/>
        <v>0</v>
      </c>
      <c r="G21" s="696"/>
    </row>
    <row r="22" spans="1:7" s="148" customFormat="1" ht="35.4" x14ac:dyDescent="0.2">
      <c r="A22" s="149" t="s">
        <v>492</v>
      </c>
      <c r="B22" s="142" t="s">
        <v>1656</v>
      </c>
      <c r="C22" s="143" t="s">
        <v>86</v>
      </c>
      <c r="D22" s="144">
        <v>1</v>
      </c>
      <c r="E22" s="145"/>
      <c r="F22" s="146">
        <f t="shared" si="0"/>
        <v>0</v>
      </c>
      <c r="G22" s="696"/>
    </row>
    <row r="23" spans="1:7" s="148" customFormat="1" ht="35.4" x14ac:dyDescent="0.2">
      <c r="A23" s="149" t="s">
        <v>493</v>
      </c>
      <c r="B23" s="142" t="s">
        <v>1657</v>
      </c>
      <c r="C23" s="143" t="s">
        <v>487</v>
      </c>
      <c r="D23" s="144">
        <v>1</v>
      </c>
      <c r="E23" s="145"/>
      <c r="F23" s="146">
        <f t="shared" si="0"/>
        <v>0</v>
      </c>
      <c r="G23" s="696"/>
    </row>
    <row r="24" spans="1:7" s="148" customFormat="1" ht="35.4" x14ac:dyDescent="0.2">
      <c r="A24" s="149" t="s">
        <v>494</v>
      </c>
      <c r="B24" s="142" t="s">
        <v>1658</v>
      </c>
      <c r="C24" s="143" t="s">
        <v>86</v>
      </c>
      <c r="D24" s="144">
        <v>1</v>
      </c>
      <c r="E24" s="145"/>
      <c r="F24" s="146">
        <f t="shared" si="0"/>
        <v>0</v>
      </c>
      <c r="G24" s="696"/>
    </row>
    <row r="25" spans="1:7" s="148" customFormat="1" ht="46.8" x14ac:dyDescent="0.2">
      <c r="A25" s="149" t="s">
        <v>495</v>
      </c>
      <c r="B25" s="142" t="s">
        <v>1659</v>
      </c>
      <c r="C25" s="143" t="s">
        <v>86</v>
      </c>
      <c r="D25" s="144">
        <v>1</v>
      </c>
      <c r="E25" s="145"/>
      <c r="F25" s="146">
        <f t="shared" si="0"/>
        <v>0</v>
      </c>
      <c r="G25" s="696"/>
    </row>
    <row r="26" spans="1:7" s="148" customFormat="1" ht="35.4" x14ac:dyDescent="0.2">
      <c r="A26" s="149" t="s">
        <v>496</v>
      </c>
      <c r="B26" s="142" t="s">
        <v>1660</v>
      </c>
      <c r="C26" s="143" t="s">
        <v>487</v>
      </c>
      <c r="D26" s="144">
        <v>1</v>
      </c>
      <c r="E26" s="145"/>
      <c r="F26" s="146">
        <f t="shared" si="0"/>
        <v>0</v>
      </c>
      <c r="G26" s="696"/>
    </row>
    <row r="27" spans="1:7" s="148" customFormat="1" ht="35.4" x14ac:dyDescent="0.2">
      <c r="A27" s="149" t="s">
        <v>497</v>
      </c>
      <c r="B27" s="142" t="s">
        <v>1661</v>
      </c>
      <c r="C27" s="143" t="s">
        <v>487</v>
      </c>
      <c r="D27" s="144">
        <v>1</v>
      </c>
      <c r="E27" s="145"/>
      <c r="F27" s="146">
        <f t="shared" si="0"/>
        <v>0</v>
      </c>
      <c r="G27" s="696"/>
    </row>
    <row r="28" spans="1:7" s="148" customFormat="1" ht="35.4" x14ac:dyDescent="0.2">
      <c r="A28" s="149" t="s">
        <v>498</v>
      </c>
      <c r="B28" s="142" t="s">
        <v>1662</v>
      </c>
      <c r="C28" s="143" t="s">
        <v>487</v>
      </c>
      <c r="D28" s="144">
        <v>1</v>
      </c>
      <c r="E28" s="145"/>
      <c r="F28" s="146">
        <f t="shared" si="0"/>
        <v>0</v>
      </c>
      <c r="G28" s="696"/>
    </row>
    <row r="29" spans="1:7" s="148" customFormat="1" ht="35.4" x14ac:dyDescent="0.2">
      <c r="A29" s="149" t="s">
        <v>499</v>
      </c>
      <c r="B29" s="142" t="s">
        <v>1663</v>
      </c>
      <c r="C29" s="143" t="s">
        <v>487</v>
      </c>
      <c r="D29" s="144">
        <v>1</v>
      </c>
      <c r="E29" s="145"/>
      <c r="F29" s="146">
        <f t="shared" si="0"/>
        <v>0</v>
      </c>
      <c r="G29" s="696"/>
    </row>
    <row r="30" spans="1:7" s="148" customFormat="1" ht="35.4" x14ac:dyDescent="0.2">
      <c r="A30" s="149" t="s">
        <v>500</v>
      </c>
      <c r="B30" s="142" t="s">
        <v>1664</v>
      </c>
      <c r="C30" s="143" t="s">
        <v>487</v>
      </c>
      <c r="D30" s="144">
        <v>1</v>
      </c>
      <c r="E30" s="145"/>
      <c r="F30" s="146">
        <f t="shared" si="0"/>
        <v>0</v>
      </c>
      <c r="G30" s="696"/>
    </row>
    <row r="31" spans="1:7" s="148" customFormat="1" ht="35.4" x14ac:dyDescent="0.2">
      <c r="A31" s="149" t="s">
        <v>501</v>
      </c>
      <c r="B31" s="142" t="s">
        <v>1665</v>
      </c>
      <c r="C31" s="143" t="s">
        <v>487</v>
      </c>
      <c r="D31" s="144">
        <v>1</v>
      </c>
      <c r="E31" s="145"/>
      <c r="F31" s="146">
        <f t="shared" si="0"/>
        <v>0</v>
      </c>
      <c r="G31" s="696"/>
    </row>
    <row r="32" spans="1:7" s="148" customFormat="1" ht="35.4" x14ac:dyDescent="0.2">
      <c r="A32" s="149" t="s">
        <v>502</v>
      </c>
      <c r="B32" s="142" t="s">
        <v>1666</v>
      </c>
      <c r="C32" s="143" t="s">
        <v>487</v>
      </c>
      <c r="D32" s="144">
        <v>1</v>
      </c>
      <c r="E32" s="145"/>
      <c r="F32" s="146">
        <f t="shared" si="0"/>
        <v>0</v>
      </c>
      <c r="G32" s="696"/>
    </row>
    <row r="33" spans="1:7" s="148" customFormat="1" ht="35.4" x14ac:dyDescent="0.2">
      <c r="A33" s="149" t="s">
        <v>503</v>
      </c>
      <c r="B33" s="142" t="s">
        <v>1667</v>
      </c>
      <c r="C33" s="143" t="s">
        <v>487</v>
      </c>
      <c r="D33" s="144">
        <v>1</v>
      </c>
      <c r="E33" s="145"/>
      <c r="F33" s="146">
        <f t="shared" si="0"/>
        <v>0</v>
      </c>
      <c r="G33" s="696"/>
    </row>
    <row r="34" spans="1:7" s="148" customFormat="1" ht="46.8" x14ac:dyDescent="0.2">
      <c r="A34" s="149" t="s">
        <v>504</v>
      </c>
      <c r="B34" s="142" t="s">
        <v>1668</v>
      </c>
      <c r="C34" s="143" t="s">
        <v>10</v>
      </c>
      <c r="D34" s="144">
        <v>1</v>
      </c>
      <c r="E34" s="145"/>
      <c r="F34" s="146">
        <f t="shared" si="0"/>
        <v>0</v>
      </c>
      <c r="G34" s="696"/>
    </row>
    <row r="35" spans="1:7" s="148" customFormat="1" ht="309" x14ac:dyDescent="0.2">
      <c r="A35" s="149" t="s">
        <v>505</v>
      </c>
      <c r="B35" s="142" t="s">
        <v>1669</v>
      </c>
      <c r="C35" s="143" t="s">
        <v>86</v>
      </c>
      <c r="D35" s="144">
        <v>1</v>
      </c>
      <c r="E35" s="145"/>
      <c r="F35" s="146">
        <f t="shared" si="0"/>
        <v>0</v>
      </c>
      <c r="G35" s="696"/>
    </row>
    <row r="36" spans="1:7" s="148" customFormat="1" ht="35.4" x14ac:dyDescent="0.2">
      <c r="A36" s="149" t="s">
        <v>506</v>
      </c>
      <c r="B36" s="142" t="s">
        <v>1670</v>
      </c>
      <c r="C36" s="143" t="s">
        <v>86</v>
      </c>
      <c r="D36" s="144">
        <v>1</v>
      </c>
      <c r="E36" s="145"/>
      <c r="F36" s="146">
        <f t="shared" si="0"/>
        <v>0</v>
      </c>
      <c r="G36" s="696"/>
    </row>
    <row r="37" spans="1:7" s="148" customFormat="1" ht="35.4" x14ac:dyDescent="0.2">
      <c r="A37" s="149" t="s">
        <v>507</v>
      </c>
      <c r="B37" s="142" t="s">
        <v>1671</v>
      </c>
      <c r="C37" s="143" t="s">
        <v>86</v>
      </c>
      <c r="D37" s="144">
        <v>1</v>
      </c>
      <c r="E37" s="145"/>
      <c r="F37" s="146">
        <f t="shared" si="0"/>
        <v>0</v>
      </c>
      <c r="G37" s="696"/>
    </row>
    <row r="38" spans="1:7" s="148" customFormat="1" ht="35.4" x14ac:dyDescent="0.2">
      <c r="A38" s="149" t="s">
        <v>508</v>
      </c>
      <c r="B38" s="142" t="s">
        <v>1672</v>
      </c>
      <c r="C38" s="143" t="s">
        <v>86</v>
      </c>
      <c r="D38" s="144">
        <v>1</v>
      </c>
      <c r="E38" s="145"/>
      <c r="F38" s="146">
        <f t="shared" si="0"/>
        <v>0</v>
      </c>
      <c r="G38" s="696"/>
    </row>
    <row r="39" spans="1:7" s="148" customFormat="1" ht="35.4" x14ac:dyDescent="0.2">
      <c r="A39" s="149" t="s">
        <v>509</v>
      </c>
      <c r="B39" s="142" t="s">
        <v>1673</v>
      </c>
      <c r="C39" s="143" t="s">
        <v>86</v>
      </c>
      <c r="D39" s="144">
        <v>1</v>
      </c>
      <c r="E39" s="145"/>
      <c r="F39" s="146">
        <f t="shared" si="0"/>
        <v>0</v>
      </c>
      <c r="G39" s="696"/>
    </row>
    <row r="40" spans="1:7" s="148" customFormat="1" ht="35.4" x14ac:dyDescent="0.2">
      <c r="A40" s="149" t="s">
        <v>510</v>
      </c>
      <c r="B40" s="142" t="s">
        <v>1674</v>
      </c>
      <c r="C40" s="143" t="s">
        <v>86</v>
      </c>
      <c r="D40" s="144">
        <v>1</v>
      </c>
      <c r="E40" s="145"/>
      <c r="F40" s="146">
        <f t="shared" si="0"/>
        <v>0</v>
      </c>
      <c r="G40" s="696"/>
    </row>
    <row r="41" spans="1:7" s="148" customFormat="1" ht="35.4" x14ac:dyDescent="0.2">
      <c r="A41" s="149" t="s">
        <v>511</v>
      </c>
      <c r="B41" s="142" t="s">
        <v>1675</v>
      </c>
      <c r="C41" s="143" t="s">
        <v>86</v>
      </c>
      <c r="D41" s="144">
        <v>1</v>
      </c>
      <c r="E41" s="145"/>
      <c r="F41" s="146">
        <f t="shared" si="0"/>
        <v>0</v>
      </c>
      <c r="G41" s="696"/>
    </row>
    <row r="42" spans="1:7" s="148" customFormat="1" ht="35.4" x14ac:dyDescent="0.2">
      <c r="A42" s="149" t="s">
        <v>512</v>
      </c>
      <c r="B42" s="142" t="s">
        <v>1676</v>
      </c>
      <c r="C42" s="143" t="s">
        <v>86</v>
      </c>
      <c r="D42" s="144">
        <v>2</v>
      </c>
      <c r="E42" s="145"/>
      <c r="F42" s="146">
        <f t="shared" si="0"/>
        <v>0</v>
      </c>
      <c r="G42" s="696"/>
    </row>
    <row r="43" spans="1:7" s="148" customFormat="1" ht="35.4" x14ac:dyDescent="0.2">
      <c r="A43" s="149" t="s">
        <v>513</v>
      </c>
      <c r="B43" s="142" t="s">
        <v>1677</v>
      </c>
      <c r="C43" s="143" t="s">
        <v>86</v>
      </c>
      <c r="D43" s="144">
        <v>2</v>
      </c>
      <c r="E43" s="145"/>
      <c r="F43" s="146">
        <f t="shared" si="0"/>
        <v>0</v>
      </c>
      <c r="G43" s="696"/>
    </row>
    <row r="44" spans="1:7" s="148" customFormat="1" ht="35.4" x14ac:dyDescent="0.2">
      <c r="A44" s="149" t="s">
        <v>514</v>
      </c>
      <c r="B44" s="142" t="s">
        <v>1678</v>
      </c>
      <c r="C44" s="143" t="s">
        <v>86</v>
      </c>
      <c r="D44" s="144">
        <v>2</v>
      </c>
      <c r="E44" s="145"/>
      <c r="F44" s="146">
        <f t="shared" si="0"/>
        <v>0</v>
      </c>
      <c r="G44" s="696"/>
    </row>
    <row r="45" spans="1:7" s="148" customFormat="1" ht="35.4" x14ac:dyDescent="0.2">
      <c r="A45" s="149" t="s">
        <v>515</v>
      </c>
      <c r="B45" s="142" t="s">
        <v>1679</v>
      </c>
      <c r="C45" s="143" t="s">
        <v>86</v>
      </c>
      <c r="D45" s="144">
        <v>1</v>
      </c>
      <c r="E45" s="145"/>
      <c r="F45" s="146">
        <f t="shared" si="0"/>
        <v>0</v>
      </c>
      <c r="G45" s="696"/>
    </row>
    <row r="46" spans="1:7" s="148" customFormat="1" ht="35.4" x14ac:dyDescent="0.2">
      <c r="A46" s="149" t="s">
        <v>516</v>
      </c>
      <c r="B46" s="142" t="s">
        <v>1680</v>
      </c>
      <c r="C46" s="143" t="s">
        <v>86</v>
      </c>
      <c r="D46" s="144">
        <v>2</v>
      </c>
      <c r="E46" s="145"/>
      <c r="F46" s="146">
        <f t="shared" si="0"/>
        <v>0</v>
      </c>
      <c r="G46" s="696"/>
    </row>
    <row r="47" spans="1:7" s="148" customFormat="1" ht="35.4" x14ac:dyDescent="0.2">
      <c r="A47" s="149" t="s">
        <v>517</v>
      </c>
      <c r="B47" s="142" t="s">
        <v>1681</v>
      </c>
      <c r="C47" s="143" t="s">
        <v>86</v>
      </c>
      <c r="D47" s="144">
        <v>4</v>
      </c>
      <c r="E47" s="145"/>
      <c r="F47" s="146">
        <f t="shared" si="0"/>
        <v>0</v>
      </c>
      <c r="G47" s="696"/>
    </row>
    <row r="48" spans="1:7" s="148" customFormat="1" ht="35.4" x14ac:dyDescent="0.2">
      <c r="A48" s="149" t="s">
        <v>518</v>
      </c>
      <c r="B48" s="142" t="s">
        <v>1682</v>
      </c>
      <c r="C48" s="143" t="s">
        <v>86</v>
      </c>
      <c r="D48" s="144">
        <v>1</v>
      </c>
      <c r="E48" s="145"/>
      <c r="F48" s="146">
        <f t="shared" si="0"/>
        <v>0</v>
      </c>
      <c r="G48" s="696"/>
    </row>
    <row r="49" spans="1:7" s="148" customFormat="1" x14ac:dyDescent="0.2">
      <c r="A49" s="149" t="s">
        <v>519</v>
      </c>
      <c r="B49" s="142" t="s">
        <v>520</v>
      </c>
      <c r="C49" s="143" t="s">
        <v>86</v>
      </c>
      <c r="D49" s="144">
        <v>12</v>
      </c>
      <c r="E49" s="145"/>
      <c r="F49" s="146">
        <f t="shared" si="0"/>
        <v>0</v>
      </c>
      <c r="G49" s="697"/>
    </row>
    <row r="50" spans="1:7" s="148" customFormat="1" x14ac:dyDescent="0.2">
      <c r="A50" s="149" t="s">
        <v>521</v>
      </c>
      <c r="B50" s="142" t="s">
        <v>522</v>
      </c>
      <c r="C50" s="143" t="s">
        <v>86</v>
      </c>
      <c r="D50" s="144">
        <v>12</v>
      </c>
      <c r="E50" s="145"/>
      <c r="F50" s="146">
        <f t="shared" si="0"/>
        <v>0</v>
      </c>
      <c r="G50" s="697"/>
    </row>
    <row r="51" spans="1:7" s="148" customFormat="1" x14ac:dyDescent="0.2">
      <c r="A51" s="149" t="s">
        <v>523</v>
      </c>
      <c r="B51" s="142" t="s">
        <v>524</v>
      </c>
      <c r="C51" s="143" t="s">
        <v>86</v>
      </c>
      <c r="D51" s="144">
        <v>1</v>
      </c>
      <c r="E51" s="145"/>
      <c r="F51" s="146">
        <f t="shared" si="0"/>
        <v>0</v>
      </c>
      <c r="G51" s="697"/>
    </row>
    <row r="52" spans="1:7" s="148" customFormat="1" x14ac:dyDescent="0.2">
      <c r="A52" s="149" t="s">
        <v>525</v>
      </c>
      <c r="B52" s="142" t="s">
        <v>526</v>
      </c>
      <c r="C52" s="143" t="s">
        <v>86</v>
      </c>
      <c r="D52" s="144">
        <v>2</v>
      </c>
      <c r="E52" s="145"/>
      <c r="F52" s="146">
        <f t="shared" si="0"/>
        <v>0</v>
      </c>
      <c r="G52" s="697"/>
    </row>
    <row r="53" spans="1:7" s="148" customFormat="1" ht="115.2" x14ac:dyDescent="0.2">
      <c r="A53" s="149" t="s">
        <v>527</v>
      </c>
      <c r="B53" s="142" t="s">
        <v>1683</v>
      </c>
      <c r="C53" s="143" t="s">
        <v>86</v>
      </c>
      <c r="D53" s="144">
        <v>1</v>
      </c>
      <c r="E53" s="145"/>
      <c r="F53" s="146">
        <f t="shared" si="0"/>
        <v>0</v>
      </c>
      <c r="G53" s="696"/>
    </row>
    <row r="54" spans="1:7" s="148" customFormat="1" ht="46.8" x14ac:dyDescent="0.2">
      <c r="A54" s="149" t="s">
        <v>528</v>
      </c>
      <c r="B54" s="142" t="s">
        <v>1684</v>
      </c>
      <c r="C54" s="143" t="s">
        <v>86</v>
      </c>
      <c r="D54" s="144">
        <v>1</v>
      </c>
      <c r="E54" s="145"/>
      <c r="F54" s="146">
        <f t="shared" si="0"/>
        <v>0</v>
      </c>
      <c r="G54" s="696"/>
    </row>
    <row r="55" spans="1:7" s="148" customFormat="1" ht="57.6" x14ac:dyDescent="0.2">
      <c r="A55" s="149" t="s">
        <v>529</v>
      </c>
      <c r="B55" s="142" t="s">
        <v>1685</v>
      </c>
      <c r="C55" s="143" t="s">
        <v>86</v>
      </c>
      <c r="D55" s="144">
        <v>1</v>
      </c>
      <c r="E55" s="145"/>
      <c r="F55" s="146">
        <f t="shared" si="0"/>
        <v>0</v>
      </c>
      <c r="G55" s="696"/>
    </row>
    <row r="56" spans="1:7" s="148" customFormat="1" ht="46.2" x14ac:dyDescent="0.2">
      <c r="A56" s="149" t="s">
        <v>530</v>
      </c>
      <c r="B56" s="142" t="s">
        <v>1686</v>
      </c>
      <c r="C56" s="143" t="s">
        <v>86</v>
      </c>
      <c r="D56" s="144">
        <v>1</v>
      </c>
      <c r="E56" s="145"/>
      <c r="F56" s="146">
        <f t="shared" si="0"/>
        <v>0</v>
      </c>
      <c r="G56" s="696"/>
    </row>
    <row r="57" spans="1:7" s="148" customFormat="1" ht="160.19999999999999" x14ac:dyDescent="0.2">
      <c r="A57" s="149" t="s">
        <v>531</v>
      </c>
      <c r="B57" s="142" t="s">
        <v>1687</v>
      </c>
      <c r="C57" s="143" t="s">
        <v>86</v>
      </c>
      <c r="D57" s="144">
        <v>2</v>
      </c>
      <c r="E57" s="145"/>
      <c r="F57" s="146">
        <f t="shared" si="0"/>
        <v>0</v>
      </c>
      <c r="G57" s="696"/>
    </row>
    <row r="58" spans="1:7" s="148" customFormat="1" ht="34.200000000000003" x14ac:dyDescent="0.2">
      <c r="A58" s="149" t="s">
        <v>532</v>
      </c>
      <c r="B58" s="142" t="s">
        <v>533</v>
      </c>
      <c r="C58" s="143" t="s">
        <v>86</v>
      </c>
      <c r="D58" s="144">
        <v>24</v>
      </c>
      <c r="E58" s="145"/>
      <c r="F58" s="146">
        <f t="shared" si="0"/>
        <v>0</v>
      </c>
      <c r="G58" s="697"/>
    </row>
    <row r="59" spans="1:7" s="148" customFormat="1" ht="46.8" x14ac:dyDescent="0.2">
      <c r="A59" s="149" t="s">
        <v>534</v>
      </c>
      <c r="B59" s="142" t="s">
        <v>1688</v>
      </c>
      <c r="C59" s="143" t="s">
        <v>86</v>
      </c>
      <c r="D59" s="144">
        <v>1</v>
      </c>
      <c r="E59" s="145"/>
      <c r="F59" s="146">
        <f t="shared" si="0"/>
        <v>0</v>
      </c>
      <c r="G59" s="696"/>
    </row>
    <row r="60" spans="1:7" s="148" customFormat="1" ht="35.4" x14ac:dyDescent="0.2">
      <c r="A60" s="149" t="s">
        <v>535</v>
      </c>
      <c r="B60" s="142" t="s">
        <v>1689</v>
      </c>
      <c r="C60" s="143" t="s">
        <v>86</v>
      </c>
      <c r="D60" s="144">
        <v>1</v>
      </c>
      <c r="E60" s="145"/>
      <c r="F60" s="146">
        <f t="shared" si="0"/>
        <v>0</v>
      </c>
      <c r="G60" s="696"/>
    </row>
    <row r="61" spans="1:7" s="148" customFormat="1" ht="35.4" x14ac:dyDescent="0.2">
      <c r="A61" s="149" t="s">
        <v>536</v>
      </c>
      <c r="B61" s="142" t="s">
        <v>1690</v>
      </c>
      <c r="C61" s="143" t="s">
        <v>86</v>
      </c>
      <c r="D61" s="144">
        <v>1</v>
      </c>
      <c r="E61" s="145"/>
      <c r="F61" s="146">
        <f t="shared" si="0"/>
        <v>0</v>
      </c>
      <c r="G61" s="696"/>
    </row>
    <row r="62" spans="1:7" s="148" customFormat="1" ht="35.4" x14ac:dyDescent="0.2">
      <c r="A62" s="149" t="s">
        <v>537</v>
      </c>
      <c r="B62" s="142" t="s">
        <v>1691</v>
      </c>
      <c r="C62" s="143" t="s">
        <v>487</v>
      </c>
      <c r="D62" s="144">
        <v>4</v>
      </c>
      <c r="E62" s="145"/>
      <c r="F62" s="146">
        <f t="shared" si="0"/>
        <v>0</v>
      </c>
      <c r="G62" s="696"/>
    </row>
    <row r="63" spans="1:7" s="148" customFormat="1" ht="35.4" x14ac:dyDescent="0.2">
      <c r="A63" s="149" t="s">
        <v>538</v>
      </c>
      <c r="B63" s="142" t="s">
        <v>1692</v>
      </c>
      <c r="C63" s="143" t="s">
        <v>86</v>
      </c>
      <c r="D63" s="144">
        <v>1</v>
      </c>
      <c r="E63" s="145"/>
      <c r="F63" s="146">
        <f t="shared" si="0"/>
        <v>0</v>
      </c>
      <c r="G63" s="696"/>
    </row>
    <row r="64" spans="1:7" s="148" customFormat="1" ht="46.8" x14ac:dyDescent="0.2">
      <c r="A64" s="149" t="s">
        <v>539</v>
      </c>
      <c r="B64" s="142" t="s">
        <v>1693</v>
      </c>
      <c r="C64" s="143" t="s">
        <v>86</v>
      </c>
      <c r="D64" s="144">
        <v>1</v>
      </c>
      <c r="E64" s="145"/>
      <c r="F64" s="146">
        <f t="shared" si="0"/>
        <v>0</v>
      </c>
      <c r="G64" s="696"/>
    </row>
    <row r="65" spans="1:7" s="148" customFormat="1" ht="35.4" x14ac:dyDescent="0.2">
      <c r="A65" s="149" t="s">
        <v>540</v>
      </c>
      <c r="B65" s="142" t="s">
        <v>1694</v>
      </c>
      <c r="C65" s="143" t="s">
        <v>86</v>
      </c>
      <c r="D65" s="144">
        <v>1</v>
      </c>
      <c r="E65" s="145"/>
      <c r="F65" s="146">
        <f t="shared" si="0"/>
        <v>0</v>
      </c>
      <c r="G65" s="696"/>
    </row>
    <row r="66" spans="1:7" s="148" customFormat="1" ht="35.4" x14ac:dyDescent="0.2">
      <c r="A66" s="149" t="s">
        <v>541</v>
      </c>
      <c r="B66" s="142" t="s">
        <v>1695</v>
      </c>
      <c r="C66" s="143" t="s">
        <v>86</v>
      </c>
      <c r="D66" s="144">
        <v>1</v>
      </c>
      <c r="E66" s="145"/>
      <c r="F66" s="146">
        <f t="shared" si="0"/>
        <v>0</v>
      </c>
      <c r="G66" s="696"/>
    </row>
    <row r="67" spans="1:7" s="148" customFormat="1" ht="35.4" x14ac:dyDescent="0.2">
      <c r="A67" s="149" t="s">
        <v>542</v>
      </c>
      <c r="B67" s="142" t="s">
        <v>1696</v>
      </c>
      <c r="C67" s="143" t="s">
        <v>86</v>
      </c>
      <c r="D67" s="144">
        <v>1</v>
      </c>
      <c r="E67" s="145"/>
      <c r="F67" s="146">
        <f t="shared" si="0"/>
        <v>0</v>
      </c>
      <c r="G67" s="696"/>
    </row>
    <row r="68" spans="1:7" s="148" customFormat="1" ht="35.4" x14ac:dyDescent="0.2">
      <c r="A68" s="149" t="s">
        <v>543</v>
      </c>
      <c r="B68" s="142" t="s">
        <v>1697</v>
      </c>
      <c r="C68" s="143" t="s">
        <v>86</v>
      </c>
      <c r="D68" s="144">
        <v>4</v>
      </c>
      <c r="E68" s="145"/>
      <c r="F68" s="146">
        <f t="shared" si="0"/>
        <v>0</v>
      </c>
      <c r="G68" s="696"/>
    </row>
    <row r="69" spans="1:7" s="148" customFormat="1" ht="35.4" x14ac:dyDescent="0.2">
      <c r="A69" s="149" t="s">
        <v>544</v>
      </c>
      <c r="B69" s="142" t="s">
        <v>1698</v>
      </c>
      <c r="C69" s="143" t="s">
        <v>86</v>
      </c>
      <c r="D69" s="144">
        <v>2</v>
      </c>
      <c r="E69" s="145"/>
      <c r="F69" s="146">
        <f t="shared" si="0"/>
        <v>0</v>
      </c>
      <c r="G69" s="696"/>
    </row>
    <row r="70" spans="1:7" s="148" customFormat="1" ht="35.4" x14ac:dyDescent="0.2">
      <c r="A70" s="149" t="s">
        <v>545</v>
      </c>
      <c r="B70" s="142" t="s">
        <v>1699</v>
      </c>
      <c r="C70" s="143" t="s">
        <v>86</v>
      </c>
      <c r="D70" s="144">
        <v>1</v>
      </c>
      <c r="E70" s="145"/>
      <c r="F70" s="146">
        <f t="shared" si="0"/>
        <v>0</v>
      </c>
      <c r="G70" s="696"/>
    </row>
    <row r="71" spans="1:7" s="148" customFormat="1" x14ac:dyDescent="0.2">
      <c r="A71" s="149" t="s">
        <v>12</v>
      </c>
      <c r="B71" s="142" t="s">
        <v>546</v>
      </c>
      <c r="C71" s="143" t="s">
        <v>10</v>
      </c>
      <c r="D71" s="144">
        <v>1</v>
      </c>
      <c r="E71" s="145"/>
      <c r="F71" s="146">
        <f>D71*E71</f>
        <v>0</v>
      </c>
      <c r="G71" s="697"/>
    </row>
    <row r="72" spans="1:7" s="157" customFormat="1" ht="12" x14ac:dyDescent="0.2">
      <c r="A72" s="150"/>
      <c r="B72" s="151" t="s">
        <v>547</v>
      </c>
      <c r="C72" s="152"/>
      <c r="D72" s="153"/>
      <c r="E72" s="154"/>
      <c r="F72" s="155">
        <f>SUM(F6:F71)</f>
        <v>0</v>
      </c>
      <c r="G72" s="156"/>
    </row>
    <row r="73" spans="1:7" s="140" customFormat="1" ht="27.6" x14ac:dyDescent="0.25">
      <c r="A73" s="135" t="s">
        <v>548</v>
      </c>
      <c r="B73" s="136" t="s">
        <v>549</v>
      </c>
      <c r="C73" s="137"/>
      <c r="D73" s="138"/>
      <c r="E73" s="137"/>
      <c r="F73" s="139"/>
    </row>
    <row r="74" spans="1:7" s="148" customFormat="1" ht="57" x14ac:dyDescent="0.2">
      <c r="A74" s="149" t="s">
        <v>550</v>
      </c>
      <c r="B74" s="142" t="s">
        <v>551</v>
      </c>
      <c r="C74" s="143"/>
      <c r="D74" s="144"/>
      <c r="E74" s="145"/>
      <c r="F74" s="146"/>
      <c r="G74" s="147"/>
    </row>
    <row r="75" spans="1:7" s="148" customFormat="1" ht="46.2" x14ac:dyDescent="0.2">
      <c r="A75" s="149" t="s">
        <v>552</v>
      </c>
      <c r="B75" s="142" t="s">
        <v>1619</v>
      </c>
      <c r="C75" s="143" t="s">
        <v>86</v>
      </c>
      <c r="D75" s="144">
        <v>2</v>
      </c>
      <c r="E75" s="145"/>
      <c r="F75" s="158">
        <f>D75*E75</f>
        <v>0</v>
      </c>
      <c r="G75" s="696"/>
    </row>
    <row r="76" spans="1:7" s="148" customFormat="1" ht="114.6" x14ac:dyDescent="0.2">
      <c r="A76" s="149" t="s">
        <v>553</v>
      </c>
      <c r="B76" s="142" t="s">
        <v>1620</v>
      </c>
      <c r="C76" s="143" t="s">
        <v>86</v>
      </c>
      <c r="D76" s="144">
        <v>2</v>
      </c>
      <c r="E76" s="145"/>
      <c r="F76" s="158">
        <f t="shared" ref="F76:F84" si="1">D76*E76</f>
        <v>0</v>
      </c>
      <c r="G76" s="696"/>
    </row>
    <row r="77" spans="1:7" s="148" customFormat="1" ht="103.8" x14ac:dyDescent="0.2">
      <c r="A77" s="149" t="s">
        <v>554</v>
      </c>
      <c r="B77" s="142" t="s">
        <v>1621</v>
      </c>
      <c r="C77" s="143" t="s">
        <v>86</v>
      </c>
      <c r="D77" s="144">
        <v>5</v>
      </c>
      <c r="E77" s="145"/>
      <c r="F77" s="158">
        <f t="shared" si="1"/>
        <v>0</v>
      </c>
      <c r="G77" s="696"/>
    </row>
    <row r="78" spans="1:7" s="148" customFormat="1" ht="80.400000000000006" x14ac:dyDescent="0.2">
      <c r="A78" s="149" t="s">
        <v>555</v>
      </c>
      <c r="B78" s="142" t="s">
        <v>1622</v>
      </c>
      <c r="C78" s="143" t="s">
        <v>86</v>
      </c>
      <c r="D78" s="144">
        <v>1</v>
      </c>
      <c r="E78" s="145"/>
      <c r="F78" s="158">
        <f t="shared" si="1"/>
        <v>0</v>
      </c>
      <c r="G78" s="696"/>
    </row>
    <row r="79" spans="1:7" s="148" customFormat="1" ht="46.8" x14ac:dyDescent="0.2">
      <c r="A79" s="149" t="s">
        <v>556</v>
      </c>
      <c r="B79" s="142" t="s">
        <v>1623</v>
      </c>
      <c r="C79" s="143" t="s">
        <v>86</v>
      </c>
      <c r="D79" s="144">
        <v>9</v>
      </c>
      <c r="E79" s="145"/>
      <c r="F79" s="158">
        <f t="shared" si="1"/>
        <v>0</v>
      </c>
      <c r="G79" s="696"/>
    </row>
    <row r="80" spans="1:7" s="148" customFormat="1" ht="103.8" x14ac:dyDescent="0.2">
      <c r="A80" s="149" t="s">
        <v>557</v>
      </c>
      <c r="B80" s="142" t="s">
        <v>1624</v>
      </c>
      <c r="C80" s="143" t="s">
        <v>86</v>
      </c>
      <c r="D80" s="144">
        <v>9</v>
      </c>
      <c r="E80" s="145"/>
      <c r="F80" s="158">
        <f t="shared" si="1"/>
        <v>0</v>
      </c>
      <c r="G80" s="696"/>
    </row>
    <row r="81" spans="1:7" s="148" customFormat="1" ht="46.2" x14ac:dyDescent="0.2">
      <c r="A81" s="149" t="s">
        <v>558</v>
      </c>
      <c r="B81" s="142" t="s">
        <v>1625</v>
      </c>
      <c r="C81" s="143" t="s">
        <v>86</v>
      </c>
      <c r="D81" s="144">
        <v>9</v>
      </c>
      <c r="E81" s="145"/>
      <c r="F81" s="158">
        <f t="shared" si="1"/>
        <v>0</v>
      </c>
      <c r="G81" s="696"/>
    </row>
    <row r="82" spans="1:7" s="148" customFormat="1" ht="57.6" x14ac:dyDescent="0.2">
      <c r="A82" s="149" t="s">
        <v>559</v>
      </c>
      <c r="B82" s="142" t="s">
        <v>1626</v>
      </c>
      <c r="C82" s="143" t="s">
        <v>86</v>
      </c>
      <c r="D82" s="144">
        <v>14</v>
      </c>
      <c r="E82" s="145"/>
      <c r="F82" s="158">
        <f t="shared" si="1"/>
        <v>0</v>
      </c>
      <c r="G82" s="696"/>
    </row>
    <row r="83" spans="1:7" s="148" customFormat="1" ht="58.2" x14ac:dyDescent="0.2">
      <c r="A83" s="149" t="s">
        <v>560</v>
      </c>
      <c r="B83" s="142" t="s">
        <v>1627</v>
      </c>
      <c r="C83" s="143" t="s">
        <v>86</v>
      </c>
      <c r="D83" s="144">
        <v>20</v>
      </c>
      <c r="E83" s="145"/>
      <c r="F83" s="158">
        <f t="shared" si="1"/>
        <v>0</v>
      </c>
      <c r="G83" s="696"/>
    </row>
    <row r="84" spans="1:7" s="148" customFormat="1" ht="68.400000000000006" x14ac:dyDescent="0.2">
      <c r="A84" s="149" t="s">
        <v>561</v>
      </c>
      <c r="B84" s="142" t="s">
        <v>562</v>
      </c>
      <c r="C84" s="143" t="s">
        <v>10</v>
      </c>
      <c r="D84" s="144">
        <v>1</v>
      </c>
      <c r="E84" s="145"/>
      <c r="F84" s="158">
        <f t="shared" si="1"/>
        <v>0</v>
      </c>
      <c r="G84" s="697"/>
    </row>
    <row r="85" spans="1:7" s="148" customFormat="1" ht="12" x14ac:dyDescent="0.2">
      <c r="A85" s="149"/>
      <c r="B85" s="159" t="s">
        <v>563</v>
      </c>
      <c r="C85" s="143"/>
      <c r="D85" s="144"/>
      <c r="E85" s="145"/>
      <c r="F85" s="158"/>
      <c r="G85" s="147"/>
    </row>
    <row r="86" spans="1:7" s="148" customFormat="1" ht="34.200000000000003" x14ac:dyDescent="0.2">
      <c r="A86" s="149"/>
      <c r="B86" s="160" t="s">
        <v>564</v>
      </c>
      <c r="C86" s="143"/>
      <c r="D86" s="144"/>
      <c r="E86" s="145"/>
      <c r="F86" s="158"/>
      <c r="G86" s="147"/>
    </row>
    <row r="87" spans="1:7" s="148" customFormat="1" ht="34.200000000000003" x14ac:dyDescent="0.2">
      <c r="A87" s="149"/>
      <c r="B87" s="160" t="s">
        <v>565</v>
      </c>
      <c r="C87" s="143"/>
      <c r="D87" s="144"/>
      <c r="E87" s="145"/>
      <c r="F87" s="158"/>
      <c r="G87" s="147"/>
    </row>
    <row r="88" spans="1:7" s="148" customFormat="1" ht="45.6" x14ac:dyDescent="0.2">
      <c r="A88" s="149"/>
      <c r="B88" s="160" t="s">
        <v>566</v>
      </c>
      <c r="C88" s="143"/>
      <c r="D88" s="144"/>
      <c r="E88" s="145"/>
      <c r="F88" s="158"/>
      <c r="G88" s="147"/>
    </row>
    <row r="89" spans="1:7" s="148" customFormat="1" ht="34.200000000000003" x14ac:dyDescent="0.2">
      <c r="A89" s="149"/>
      <c r="B89" s="160" t="s">
        <v>567</v>
      </c>
      <c r="C89" s="143"/>
      <c r="D89" s="144"/>
      <c r="E89" s="145"/>
      <c r="F89" s="158"/>
      <c r="G89" s="147"/>
    </row>
    <row r="90" spans="1:7" s="148" customFormat="1" ht="45.6" x14ac:dyDescent="0.2">
      <c r="A90" s="149"/>
      <c r="B90" s="160" t="s">
        <v>568</v>
      </c>
      <c r="C90" s="143"/>
      <c r="D90" s="144"/>
      <c r="E90" s="145"/>
      <c r="F90" s="158"/>
      <c r="G90" s="147"/>
    </row>
    <row r="91" spans="1:7" s="148" customFormat="1" ht="34.200000000000003" x14ac:dyDescent="0.2">
      <c r="A91" s="149"/>
      <c r="B91" s="160" t="s">
        <v>569</v>
      </c>
      <c r="C91" s="143"/>
      <c r="D91" s="144"/>
      <c r="E91" s="145"/>
      <c r="F91" s="158"/>
      <c r="G91" s="147"/>
    </row>
    <row r="92" spans="1:7" s="148" customFormat="1" ht="11.4" x14ac:dyDescent="0.2">
      <c r="A92" s="149"/>
      <c r="B92" s="160" t="s">
        <v>570</v>
      </c>
      <c r="C92" s="143"/>
      <c r="D92" s="144"/>
      <c r="E92" s="145"/>
      <c r="F92" s="158"/>
      <c r="G92" s="147"/>
    </row>
    <row r="93" spans="1:7" s="148" customFormat="1" ht="12" x14ac:dyDescent="0.2">
      <c r="A93" s="141"/>
      <c r="B93" s="151" t="s">
        <v>571</v>
      </c>
      <c r="C93" s="143"/>
      <c r="D93" s="144"/>
      <c r="E93" s="145"/>
      <c r="F93" s="155">
        <f>SUM(F75:F92)</f>
        <v>0</v>
      </c>
      <c r="G93" s="147"/>
    </row>
    <row r="94" spans="1:7" s="140" customFormat="1" ht="27.6" x14ac:dyDescent="0.25">
      <c r="A94" s="135" t="s">
        <v>572</v>
      </c>
      <c r="B94" s="136" t="s">
        <v>573</v>
      </c>
      <c r="C94" s="137"/>
      <c r="D94" s="138"/>
      <c r="E94" s="137"/>
      <c r="F94" s="139"/>
    </row>
    <row r="95" spans="1:7" s="148" customFormat="1" ht="22.8" x14ac:dyDescent="0.2">
      <c r="A95" s="149" t="s">
        <v>574</v>
      </c>
      <c r="B95" s="142" t="s">
        <v>575</v>
      </c>
      <c r="C95" s="143"/>
      <c r="D95" s="144"/>
      <c r="E95" s="145"/>
      <c r="F95" s="158"/>
      <c r="G95" s="147"/>
    </row>
    <row r="96" spans="1:7" s="148" customFormat="1" ht="34.799999999999997" x14ac:dyDescent="0.2">
      <c r="A96" s="149" t="s">
        <v>576</v>
      </c>
      <c r="B96" s="142" t="s">
        <v>1628</v>
      </c>
      <c r="C96" s="143" t="s">
        <v>86</v>
      </c>
      <c r="D96" s="144">
        <v>2</v>
      </c>
      <c r="E96" s="145"/>
      <c r="F96" s="158">
        <f t="shared" ref="F96:F101" si="2">E96*D96</f>
        <v>0</v>
      </c>
      <c r="G96" s="696"/>
    </row>
    <row r="97" spans="1:7" s="148" customFormat="1" ht="46.2" x14ac:dyDescent="0.2">
      <c r="A97" s="149" t="s">
        <v>577</v>
      </c>
      <c r="B97" s="142" t="s">
        <v>1629</v>
      </c>
      <c r="C97" s="143" t="s">
        <v>86</v>
      </c>
      <c r="D97" s="144">
        <v>1</v>
      </c>
      <c r="E97" s="145"/>
      <c r="F97" s="158">
        <f t="shared" si="2"/>
        <v>0</v>
      </c>
      <c r="G97" s="696"/>
    </row>
    <row r="98" spans="1:7" s="148" customFormat="1" ht="34.799999999999997" x14ac:dyDescent="0.2">
      <c r="A98" s="149" t="s">
        <v>578</v>
      </c>
      <c r="B98" s="142" t="s">
        <v>1630</v>
      </c>
      <c r="C98" s="143" t="s">
        <v>86</v>
      </c>
      <c r="D98" s="144">
        <v>1</v>
      </c>
      <c r="E98" s="145"/>
      <c r="F98" s="158">
        <f t="shared" si="2"/>
        <v>0</v>
      </c>
      <c r="G98" s="696"/>
    </row>
    <row r="99" spans="1:7" s="148" customFormat="1" ht="34.799999999999997" x14ac:dyDescent="0.2">
      <c r="A99" s="149" t="s">
        <v>579</v>
      </c>
      <c r="B99" s="142" t="s">
        <v>1631</v>
      </c>
      <c r="C99" s="143" t="s">
        <v>86</v>
      </c>
      <c r="D99" s="144">
        <v>1</v>
      </c>
      <c r="E99" s="145"/>
      <c r="F99" s="158">
        <f t="shared" si="2"/>
        <v>0</v>
      </c>
      <c r="G99" s="696"/>
    </row>
    <row r="100" spans="1:7" s="148" customFormat="1" ht="46.2" x14ac:dyDescent="0.2">
      <c r="A100" s="149" t="s">
        <v>580</v>
      </c>
      <c r="B100" s="142" t="s">
        <v>1632</v>
      </c>
      <c r="C100" s="143" t="s">
        <v>86</v>
      </c>
      <c r="D100" s="144">
        <v>2</v>
      </c>
      <c r="E100" s="145"/>
      <c r="F100" s="158">
        <f t="shared" si="2"/>
        <v>0</v>
      </c>
      <c r="G100" s="696"/>
    </row>
    <row r="101" spans="1:7" s="148" customFormat="1" ht="46.2" x14ac:dyDescent="0.2">
      <c r="A101" s="149" t="s">
        <v>581</v>
      </c>
      <c r="B101" s="142" t="s">
        <v>1633</v>
      </c>
      <c r="C101" s="143" t="s">
        <v>86</v>
      </c>
      <c r="D101" s="144">
        <v>2</v>
      </c>
      <c r="E101" s="145"/>
      <c r="F101" s="158">
        <f t="shared" si="2"/>
        <v>0</v>
      </c>
      <c r="G101" s="696"/>
    </row>
    <row r="102" spans="1:7" s="148" customFormat="1" ht="22.8" x14ac:dyDescent="0.2">
      <c r="A102" s="149" t="s">
        <v>24</v>
      </c>
      <c r="B102" s="142" t="s">
        <v>582</v>
      </c>
      <c r="C102" s="143"/>
      <c r="D102" s="144"/>
      <c r="E102" s="145"/>
      <c r="F102" s="158"/>
      <c r="G102" s="696"/>
    </row>
    <row r="103" spans="1:7" s="148" customFormat="1" ht="57.6" x14ac:dyDescent="0.2">
      <c r="A103" s="149" t="s">
        <v>583</v>
      </c>
      <c r="B103" s="142" t="s">
        <v>1634</v>
      </c>
      <c r="C103" s="143" t="s">
        <v>86</v>
      </c>
      <c r="D103" s="144">
        <v>4</v>
      </c>
      <c r="E103" s="145"/>
      <c r="F103" s="158">
        <f t="shared" ref="F103:F115" si="3">E103*D103</f>
        <v>0</v>
      </c>
      <c r="G103" s="696"/>
    </row>
    <row r="104" spans="1:7" s="148" customFormat="1" ht="69" x14ac:dyDescent="0.2">
      <c r="A104" s="149" t="s">
        <v>584</v>
      </c>
      <c r="B104" s="142" t="s">
        <v>1635</v>
      </c>
      <c r="C104" s="143" t="s">
        <v>86</v>
      </c>
      <c r="D104" s="144">
        <v>18</v>
      </c>
      <c r="E104" s="145"/>
      <c r="F104" s="158">
        <f t="shared" si="3"/>
        <v>0</v>
      </c>
      <c r="G104" s="696"/>
    </row>
    <row r="105" spans="1:7" s="148" customFormat="1" ht="46.2" x14ac:dyDescent="0.2">
      <c r="A105" s="149" t="s">
        <v>585</v>
      </c>
      <c r="B105" s="142" t="s">
        <v>1636</v>
      </c>
      <c r="C105" s="143" t="s">
        <v>86</v>
      </c>
      <c r="D105" s="144">
        <v>6</v>
      </c>
      <c r="E105" s="145"/>
      <c r="F105" s="158">
        <f t="shared" si="3"/>
        <v>0</v>
      </c>
      <c r="G105" s="696"/>
    </row>
    <row r="106" spans="1:7" s="148" customFormat="1" ht="46.2" x14ac:dyDescent="0.2">
      <c r="A106" s="149" t="s">
        <v>586</v>
      </c>
      <c r="B106" s="142" t="s">
        <v>1637</v>
      </c>
      <c r="C106" s="143" t="s">
        <v>86</v>
      </c>
      <c r="D106" s="144">
        <v>4</v>
      </c>
      <c r="E106" s="145"/>
      <c r="F106" s="158">
        <f t="shared" si="3"/>
        <v>0</v>
      </c>
      <c r="G106" s="696"/>
    </row>
    <row r="107" spans="1:7" s="148" customFormat="1" ht="46.2" x14ac:dyDescent="0.2">
      <c r="A107" s="149" t="s">
        <v>587</v>
      </c>
      <c r="B107" s="142" t="s">
        <v>1638</v>
      </c>
      <c r="C107" s="143" t="s">
        <v>86</v>
      </c>
      <c r="D107" s="144">
        <v>4</v>
      </c>
      <c r="E107" s="145"/>
      <c r="F107" s="158">
        <f t="shared" si="3"/>
        <v>0</v>
      </c>
      <c r="G107" s="696"/>
    </row>
    <row r="108" spans="1:7" s="148" customFormat="1" ht="34.799999999999997" x14ac:dyDescent="0.2">
      <c r="A108" s="149" t="s">
        <v>588</v>
      </c>
      <c r="B108" s="142" t="s">
        <v>1639</v>
      </c>
      <c r="C108" s="143" t="s">
        <v>86</v>
      </c>
      <c r="D108" s="144">
        <v>3</v>
      </c>
      <c r="E108" s="145"/>
      <c r="F108" s="158">
        <f t="shared" si="3"/>
        <v>0</v>
      </c>
      <c r="G108" s="696"/>
    </row>
    <row r="109" spans="1:7" s="148" customFormat="1" ht="46.2" x14ac:dyDescent="0.2">
      <c r="A109" s="149" t="s">
        <v>589</v>
      </c>
      <c r="B109" s="142" t="s">
        <v>1640</v>
      </c>
      <c r="C109" s="143" t="s">
        <v>86</v>
      </c>
      <c r="D109" s="144">
        <v>3</v>
      </c>
      <c r="E109" s="145"/>
      <c r="F109" s="158">
        <f t="shared" si="3"/>
        <v>0</v>
      </c>
      <c r="G109" s="696"/>
    </row>
    <row r="110" spans="1:7" s="148" customFormat="1" ht="34.799999999999997" x14ac:dyDescent="0.2">
      <c r="A110" s="149" t="s">
        <v>590</v>
      </c>
      <c r="B110" s="142" t="s">
        <v>1641</v>
      </c>
      <c r="C110" s="143" t="s">
        <v>86</v>
      </c>
      <c r="D110" s="144">
        <v>30</v>
      </c>
      <c r="E110" s="145"/>
      <c r="F110" s="158">
        <f t="shared" si="3"/>
        <v>0</v>
      </c>
      <c r="G110" s="696"/>
    </row>
    <row r="111" spans="1:7" s="148" customFormat="1" ht="46.2" x14ac:dyDescent="0.2">
      <c r="A111" s="149" t="s">
        <v>591</v>
      </c>
      <c r="B111" s="142" t="s">
        <v>1642</v>
      </c>
      <c r="C111" s="143" t="s">
        <v>86</v>
      </c>
      <c r="D111" s="144">
        <v>1</v>
      </c>
      <c r="E111" s="145"/>
      <c r="F111" s="158">
        <f t="shared" si="3"/>
        <v>0</v>
      </c>
      <c r="G111" s="696"/>
    </row>
    <row r="112" spans="1:7" s="148" customFormat="1" ht="34.799999999999997" x14ac:dyDescent="0.2">
      <c r="A112" s="149" t="s">
        <v>592</v>
      </c>
      <c r="B112" s="142" t="s">
        <v>1643</v>
      </c>
      <c r="C112" s="143" t="s">
        <v>86</v>
      </c>
      <c r="D112" s="144">
        <v>1</v>
      </c>
      <c r="E112" s="145"/>
      <c r="F112" s="158">
        <f t="shared" si="3"/>
        <v>0</v>
      </c>
      <c r="G112" s="696"/>
    </row>
    <row r="113" spans="1:7" s="148" customFormat="1" ht="46.2" x14ac:dyDescent="0.2">
      <c r="A113" s="149" t="s">
        <v>593</v>
      </c>
      <c r="B113" s="142" t="s">
        <v>1644</v>
      </c>
      <c r="C113" s="143" t="s">
        <v>86</v>
      </c>
      <c r="D113" s="144">
        <v>1</v>
      </c>
      <c r="E113" s="145"/>
      <c r="F113" s="158">
        <f t="shared" si="3"/>
        <v>0</v>
      </c>
      <c r="G113" s="696"/>
    </row>
    <row r="114" spans="1:7" s="148" customFormat="1" ht="34.799999999999997" x14ac:dyDescent="0.2">
      <c r="A114" s="149" t="s">
        <v>594</v>
      </c>
      <c r="B114" s="142" t="s">
        <v>1645</v>
      </c>
      <c r="C114" s="143" t="s">
        <v>86</v>
      </c>
      <c r="D114" s="144">
        <v>4</v>
      </c>
      <c r="E114" s="145"/>
      <c r="F114" s="158">
        <f t="shared" si="3"/>
        <v>0</v>
      </c>
      <c r="G114" s="696"/>
    </row>
    <row r="115" spans="1:7" s="148" customFormat="1" ht="35.4" x14ac:dyDescent="0.2">
      <c r="A115" s="149" t="s">
        <v>595</v>
      </c>
      <c r="B115" s="142" t="s">
        <v>1646</v>
      </c>
      <c r="C115" s="143" t="s">
        <v>86</v>
      </c>
      <c r="D115" s="144">
        <v>12</v>
      </c>
      <c r="E115" s="145"/>
      <c r="F115" s="158">
        <f t="shared" si="3"/>
        <v>0</v>
      </c>
      <c r="G115" s="696"/>
    </row>
    <row r="116" spans="1:7" s="148" customFormat="1" ht="22.8" x14ac:dyDescent="0.2">
      <c r="A116" s="149" t="s">
        <v>596</v>
      </c>
      <c r="B116" s="142" t="s">
        <v>597</v>
      </c>
      <c r="C116" s="143" t="s">
        <v>10</v>
      </c>
      <c r="D116" s="144">
        <v>1</v>
      </c>
      <c r="E116" s="145"/>
      <c r="F116" s="158">
        <f>E116*D116</f>
        <v>0</v>
      </c>
      <c r="G116" s="697"/>
    </row>
    <row r="117" spans="1:7" s="148" customFormat="1" ht="24" x14ac:dyDescent="0.2">
      <c r="A117" s="149"/>
      <c r="B117" s="159" t="s">
        <v>598</v>
      </c>
      <c r="C117" s="143"/>
      <c r="D117" s="144"/>
      <c r="E117" s="145"/>
      <c r="F117" s="158"/>
      <c r="G117" s="147"/>
    </row>
    <row r="118" spans="1:7" s="148" customFormat="1" x14ac:dyDescent="0.2">
      <c r="A118" s="141"/>
      <c r="B118" s="151" t="s">
        <v>599</v>
      </c>
      <c r="C118" s="143"/>
      <c r="D118" s="144"/>
      <c r="E118" s="145"/>
      <c r="F118" s="161">
        <f>SUM(F96:F117)</f>
        <v>0</v>
      </c>
      <c r="G118" s="147"/>
    </row>
    <row r="119" spans="1:7" s="140" customFormat="1" ht="13.8" x14ac:dyDescent="0.25">
      <c r="A119" s="135" t="s">
        <v>600</v>
      </c>
      <c r="B119" s="136" t="s">
        <v>601</v>
      </c>
      <c r="C119" s="137"/>
      <c r="D119" s="138"/>
      <c r="E119" s="137"/>
      <c r="F119" s="139"/>
    </row>
    <row r="120" spans="1:7" s="148" customFormat="1" ht="34.200000000000003" x14ac:dyDescent="0.2">
      <c r="A120" s="149" t="s">
        <v>28</v>
      </c>
      <c r="B120" s="142" t="s">
        <v>1829</v>
      </c>
      <c r="C120" s="143"/>
      <c r="D120" s="144"/>
      <c r="E120" s="145"/>
      <c r="F120" s="158"/>
      <c r="G120" s="147"/>
    </row>
    <row r="121" spans="1:7" s="148" customFormat="1" ht="159.6" x14ac:dyDescent="0.2">
      <c r="A121" s="149"/>
      <c r="B121" s="142" t="s">
        <v>602</v>
      </c>
      <c r="C121" s="143"/>
      <c r="D121" s="144"/>
      <c r="E121" s="145"/>
      <c r="F121" s="158"/>
      <c r="G121" s="772"/>
    </row>
    <row r="122" spans="1:7" s="148" customFormat="1" ht="240" x14ac:dyDescent="0.2">
      <c r="A122" s="149"/>
      <c r="B122" s="142" t="s">
        <v>1647</v>
      </c>
      <c r="C122" s="143" t="s">
        <v>10</v>
      </c>
      <c r="D122" s="144">
        <v>1</v>
      </c>
      <c r="E122" s="145"/>
      <c r="F122" s="158">
        <f>D122*E122</f>
        <v>0</v>
      </c>
      <c r="G122" s="772"/>
    </row>
    <row r="123" spans="1:7" s="148" customFormat="1" ht="22.8" x14ac:dyDescent="0.2">
      <c r="A123" s="149" t="s">
        <v>29</v>
      </c>
      <c r="B123" s="142" t="s">
        <v>603</v>
      </c>
      <c r="C123" s="143"/>
      <c r="D123" s="144"/>
      <c r="E123" s="145"/>
      <c r="F123" s="158"/>
      <c r="G123" s="147"/>
    </row>
    <row r="124" spans="1:7" s="148" customFormat="1" ht="353.4" x14ac:dyDescent="0.2">
      <c r="A124" s="149"/>
      <c r="B124" s="142" t="s">
        <v>604</v>
      </c>
      <c r="C124" s="143"/>
      <c r="D124" s="144"/>
      <c r="E124" s="145"/>
      <c r="F124" s="158"/>
      <c r="G124" s="772"/>
    </row>
    <row r="125" spans="1:7" s="148" customFormat="1" ht="297" x14ac:dyDescent="0.2">
      <c r="A125" s="149"/>
      <c r="B125" s="142" t="s">
        <v>1648</v>
      </c>
      <c r="C125" s="143" t="s">
        <v>86</v>
      </c>
      <c r="D125" s="144">
        <v>1</v>
      </c>
      <c r="E125" s="145"/>
      <c r="F125" s="158">
        <f>D125*E125</f>
        <v>0</v>
      </c>
      <c r="G125" s="772"/>
    </row>
    <row r="126" spans="1:7" s="148" customFormat="1" ht="57.6" x14ac:dyDescent="0.2">
      <c r="A126" s="149" t="s">
        <v>228</v>
      </c>
      <c r="B126" s="142" t="s">
        <v>1618</v>
      </c>
      <c r="C126" s="143" t="s">
        <v>86</v>
      </c>
      <c r="D126" s="144">
        <v>1</v>
      </c>
      <c r="E126" s="145"/>
      <c r="F126" s="158">
        <f>D126*E126</f>
        <v>0</v>
      </c>
      <c r="G126" s="696"/>
    </row>
    <row r="127" spans="1:7" s="148" customFormat="1" ht="57.6" x14ac:dyDescent="0.2">
      <c r="A127" s="149" t="s">
        <v>229</v>
      </c>
      <c r="B127" s="142" t="s">
        <v>1617</v>
      </c>
      <c r="C127" s="143" t="s">
        <v>86</v>
      </c>
      <c r="D127" s="144">
        <v>1</v>
      </c>
      <c r="E127" s="145"/>
      <c r="F127" s="158">
        <f>D127*E127</f>
        <v>0</v>
      </c>
      <c r="G127" s="696"/>
    </row>
    <row r="128" spans="1:7" s="148" customFormat="1" ht="22.8" x14ac:dyDescent="0.2">
      <c r="A128" s="149" t="s">
        <v>228</v>
      </c>
      <c r="B128" s="142" t="s">
        <v>605</v>
      </c>
      <c r="C128" s="143" t="s">
        <v>10</v>
      </c>
      <c r="D128" s="144">
        <v>1</v>
      </c>
      <c r="E128" s="145"/>
      <c r="F128" s="158">
        <f>D128*E128</f>
        <v>0</v>
      </c>
      <c r="G128" s="147"/>
    </row>
    <row r="129" spans="1:13" s="148" customFormat="1" ht="126" x14ac:dyDescent="0.2">
      <c r="A129" s="149" t="s">
        <v>229</v>
      </c>
      <c r="B129" s="142" t="s">
        <v>1616</v>
      </c>
      <c r="C129" s="143" t="s">
        <v>10</v>
      </c>
      <c r="D129" s="144">
        <v>1</v>
      </c>
      <c r="E129" s="145"/>
      <c r="F129" s="158">
        <f>D129*E129</f>
        <v>0</v>
      </c>
      <c r="G129" s="696"/>
    </row>
    <row r="130" spans="1:13" s="148" customFormat="1" ht="13.8" thickBot="1" x14ac:dyDescent="0.25">
      <c r="A130" s="141"/>
      <c r="B130" s="151" t="s">
        <v>606</v>
      </c>
      <c r="C130" s="143"/>
      <c r="D130" s="144"/>
      <c r="E130" s="145"/>
      <c r="F130" s="161">
        <f>SUM(F120:F129)</f>
        <v>0</v>
      </c>
      <c r="G130" s="147"/>
    </row>
    <row r="131" spans="1:13" x14ac:dyDescent="0.25">
      <c r="A131" s="162"/>
      <c r="B131" s="163"/>
      <c r="C131" s="164"/>
      <c r="D131" s="165"/>
      <c r="E131" s="166"/>
      <c r="F131" s="167"/>
    </row>
    <row r="132" spans="1:13" x14ac:dyDescent="0.25">
      <c r="A132" s="168"/>
      <c r="B132" s="169"/>
      <c r="C132" s="170"/>
      <c r="D132" s="171"/>
      <c r="E132" s="172"/>
      <c r="F132" s="173"/>
    </row>
    <row r="133" spans="1:13" x14ac:dyDescent="0.25">
      <c r="A133" s="168"/>
      <c r="B133" s="169"/>
      <c r="C133" s="170"/>
      <c r="D133" s="171"/>
      <c r="E133" s="172"/>
      <c r="F133" s="173"/>
    </row>
    <row r="134" spans="1:13" x14ac:dyDescent="0.25">
      <c r="A134" s="168"/>
      <c r="B134" s="169"/>
      <c r="C134" s="170"/>
      <c r="D134" s="171"/>
      <c r="E134" s="172"/>
      <c r="F134" s="173"/>
    </row>
    <row r="135" spans="1:13" x14ac:dyDescent="0.25">
      <c r="A135" s="168"/>
      <c r="B135" s="169"/>
      <c r="C135" s="170"/>
      <c r="D135" s="171"/>
      <c r="E135" s="172"/>
      <c r="F135" s="173"/>
    </row>
    <row r="136" spans="1:13" x14ac:dyDescent="0.25">
      <c r="A136" s="690"/>
      <c r="B136" s="692" t="s">
        <v>1578</v>
      </c>
      <c r="C136" s="16"/>
      <c r="D136" s="16"/>
      <c r="E136" s="16"/>
      <c r="F136" s="29"/>
    </row>
    <row r="137" spans="1:13" x14ac:dyDescent="0.25">
      <c r="A137" s="691"/>
      <c r="B137" s="732" t="s">
        <v>1788</v>
      </c>
      <c r="C137" s="732"/>
      <c r="D137" s="732"/>
      <c r="E137" s="732"/>
      <c r="F137" s="732"/>
    </row>
    <row r="138" spans="1:13" x14ac:dyDescent="0.25">
      <c r="A138" s="19"/>
      <c r="B138" s="732"/>
      <c r="C138" s="732"/>
      <c r="D138" s="732"/>
      <c r="E138" s="732"/>
      <c r="F138" s="732"/>
    </row>
    <row r="139" spans="1:13" x14ac:dyDescent="0.25">
      <c r="A139" s="168"/>
      <c r="B139" s="169"/>
      <c r="C139" s="170"/>
      <c r="D139" s="171"/>
      <c r="E139" s="172"/>
      <c r="F139" s="173"/>
    </row>
    <row r="140" spans="1:13" x14ac:dyDescent="0.25">
      <c r="A140" s="168"/>
      <c r="B140" s="169"/>
      <c r="C140" s="170"/>
      <c r="D140" s="171"/>
      <c r="E140" s="172"/>
      <c r="F140" s="173"/>
    </row>
    <row r="141" spans="1:13" customFormat="1" ht="26.4" customHeight="1" x14ac:dyDescent="0.25">
      <c r="A141" s="19"/>
      <c r="B141" s="731" t="s">
        <v>1776</v>
      </c>
      <c r="C141" s="731"/>
      <c r="D141" s="731"/>
      <c r="E141" s="731"/>
      <c r="F141" s="731"/>
      <c r="G141" s="731"/>
      <c r="H141" s="731"/>
      <c r="I141" s="731"/>
      <c r="J141" s="731"/>
      <c r="K141" s="731"/>
      <c r="L141" s="731"/>
      <c r="M141" s="731"/>
    </row>
    <row r="142" spans="1:13" x14ac:dyDescent="0.25">
      <c r="A142" s="168"/>
      <c r="B142" s="169"/>
      <c r="C142" s="170"/>
      <c r="D142" s="171"/>
      <c r="E142" s="172"/>
      <c r="F142" s="173"/>
    </row>
    <row r="143" spans="1:13" x14ac:dyDescent="0.25">
      <c r="A143" s="168"/>
      <c r="B143" s="169"/>
      <c r="C143" s="170"/>
      <c r="D143" s="171"/>
      <c r="E143" s="172"/>
      <c r="F143" s="173"/>
    </row>
    <row r="144" spans="1:13" ht="16.2" thickBot="1" x14ac:dyDescent="0.3">
      <c r="A144" s="761" t="s">
        <v>607</v>
      </c>
      <c r="B144" s="762"/>
      <c r="C144" s="762"/>
      <c r="D144" s="762"/>
      <c r="E144" s="762"/>
      <c r="F144" s="763"/>
    </row>
    <row r="145" spans="1:6" ht="13.8" thickBot="1" x14ac:dyDescent="0.3">
      <c r="A145" s="174" t="s">
        <v>608</v>
      </c>
      <c r="B145" s="764" t="s">
        <v>469</v>
      </c>
      <c r="C145" s="765"/>
      <c r="D145" s="765"/>
      <c r="E145" s="766"/>
      <c r="F145" s="175" t="s">
        <v>473</v>
      </c>
    </row>
    <row r="146" spans="1:6" ht="14.4" thickTop="1" thickBot="1" x14ac:dyDescent="0.3">
      <c r="A146" s="176" t="s">
        <v>609</v>
      </c>
      <c r="B146" s="757" t="s">
        <v>475</v>
      </c>
      <c r="C146" s="758"/>
      <c r="D146" s="758"/>
      <c r="E146" s="758"/>
      <c r="F146" s="177">
        <f>F72</f>
        <v>0</v>
      </c>
    </row>
    <row r="147" spans="1:6" ht="14.4" thickTop="1" thickBot="1" x14ac:dyDescent="0.3">
      <c r="A147" s="176" t="s">
        <v>610</v>
      </c>
      <c r="B147" s="757" t="s">
        <v>549</v>
      </c>
      <c r="C147" s="758"/>
      <c r="D147" s="758"/>
      <c r="E147" s="758"/>
      <c r="F147" s="177">
        <f>F93</f>
        <v>0</v>
      </c>
    </row>
    <row r="148" spans="1:6" ht="14.4" thickTop="1" thickBot="1" x14ac:dyDescent="0.3">
      <c r="A148" s="176" t="s">
        <v>611</v>
      </c>
      <c r="B148" s="757" t="s">
        <v>573</v>
      </c>
      <c r="C148" s="758"/>
      <c r="D148" s="758"/>
      <c r="E148" s="758"/>
      <c r="F148" s="177">
        <f>F118</f>
        <v>0</v>
      </c>
    </row>
    <row r="149" spans="1:6" ht="14.4" thickTop="1" thickBot="1" x14ac:dyDescent="0.3">
      <c r="A149" s="176" t="s">
        <v>612</v>
      </c>
      <c r="B149" s="757" t="s">
        <v>601</v>
      </c>
      <c r="C149" s="758"/>
      <c r="D149" s="758"/>
      <c r="E149" s="758"/>
      <c r="F149" s="177">
        <f>F130</f>
        <v>0</v>
      </c>
    </row>
    <row r="150" spans="1:6" ht="16.8" thickTop="1" thickBot="1" x14ac:dyDescent="0.35">
      <c r="A150" s="178"/>
      <c r="B150" s="767" t="s">
        <v>613</v>
      </c>
      <c r="C150" s="768"/>
      <c r="D150" s="768"/>
      <c r="E150" s="769"/>
      <c r="F150" s="179">
        <f>SUM(F146:F149)</f>
        <v>0</v>
      </c>
    </row>
    <row r="151" spans="1:6" ht="15.6" x14ac:dyDescent="0.25">
      <c r="A151" s="180"/>
      <c r="B151" s="181"/>
      <c r="C151" s="181"/>
      <c r="D151" s="181"/>
      <c r="E151" s="182"/>
      <c r="F151" s="181"/>
    </row>
  </sheetData>
  <mergeCells count="15">
    <mergeCell ref="B150:E150"/>
    <mergeCell ref="G1:I1"/>
    <mergeCell ref="G2:I2"/>
    <mergeCell ref="A144:F144"/>
    <mergeCell ref="B145:E145"/>
    <mergeCell ref="B146:E146"/>
    <mergeCell ref="B147:E147"/>
    <mergeCell ref="B148:E148"/>
    <mergeCell ref="B149:E149"/>
    <mergeCell ref="A1:F1"/>
    <mergeCell ref="B137:F138"/>
    <mergeCell ref="G121:G122"/>
    <mergeCell ref="G124:G125"/>
    <mergeCell ref="G6:G15"/>
    <mergeCell ref="B141:M141"/>
  </mergeCells>
  <pageMargins left="0.11811023622047245" right="0.11811023622047245" top="0.55118110236220474" bottom="0.55118110236220474"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110"/>
  <sheetViews>
    <sheetView topLeftCell="A1039" zoomScale="90" zoomScaleNormal="90" workbookViewId="0">
      <selection activeCell="A1049" sqref="A1049:XFD1049"/>
    </sheetView>
  </sheetViews>
  <sheetFormatPr defaultRowHeight="13.2" x14ac:dyDescent="0.25"/>
  <cols>
    <col min="1" max="1" width="8.5546875" customWidth="1"/>
    <col min="2" max="2" width="36.77734375" customWidth="1"/>
    <col min="3" max="3" width="10" customWidth="1"/>
    <col min="4" max="4" width="9.88671875" customWidth="1"/>
    <col min="5" max="5" width="11.109375" bestFit="1" customWidth="1"/>
    <col min="6" max="6" width="12.88671875" bestFit="1" customWidth="1"/>
    <col min="7" max="7" width="20" customWidth="1"/>
  </cols>
  <sheetData>
    <row r="1" spans="1:9" ht="13.2" customHeight="1" x14ac:dyDescent="0.25">
      <c r="A1" s="741" t="s">
        <v>1588</v>
      </c>
      <c r="B1" s="741"/>
      <c r="C1" s="741"/>
      <c r="D1" s="741"/>
      <c r="E1" s="741"/>
      <c r="F1" s="741"/>
      <c r="G1" s="685"/>
      <c r="H1" s="685"/>
      <c r="I1" s="685"/>
    </row>
    <row r="2" spans="1:9" ht="13.8" x14ac:dyDescent="0.3">
      <c r="A2" s="183"/>
      <c r="B2" s="183"/>
      <c r="C2" s="183"/>
      <c r="D2" s="183"/>
      <c r="E2" s="183"/>
    </row>
    <row r="3" spans="1:9" ht="21" customHeight="1" x14ac:dyDescent="0.25">
      <c r="A3" s="778" t="s">
        <v>1021</v>
      </c>
      <c r="B3" s="778"/>
      <c r="C3" s="778"/>
      <c r="D3" s="778"/>
      <c r="E3" s="778"/>
      <c r="F3" s="778"/>
    </row>
    <row r="4" spans="1:9" x14ac:dyDescent="0.25">
      <c r="A4" s="233"/>
      <c r="B4" s="233"/>
      <c r="C4" s="233"/>
      <c r="D4" s="233"/>
      <c r="E4" s="233"/>
      <c r="F4" s="233"/>
    </row>
    <row r="5" spans="1:9" ht="113.25" customHeight="1" x14ac:dyDescent="0.25">
      <c r="A5" s="773" t="s">
        <v>1022</v>
      </c>
      <c r="B5" s="773"/>
      <c r="C5" s="773"/>
      <c r="D5" s="773"/>
      <c r="E5" s="773"/>
      <c r="F5" s="773"/>
    </row>
    <row r="6" spans="1:9" ht="15.6" x14ac:dyDescent="0.25">
      <c r="A6" s="209"/>
      <c r="B6" s="233"/>
      <c r="C6" s="233"/>
      <c r="D6" s="233"/>
      <c r="E6" s="233"/>
      <c r="F6" s="233"/>
    </row>
    <row r="7" spans="1:9" ht="101.25" customHeight="1" x14ac:dyDescent="0.25">
      <c r="A7" s="773" t="s">
        <v>1023</v>
      </c>
      <c r="B7" s="773"/>
      <c r="C7" s="773"/>
      <c r="D7" s="773"/>
      <c r="E7" s="773"/>
      <c r="F7" s="773"/>
    </row>
    <row r="8" spans="1:9" ht="15.6" x14ac:dyDescent="0.25">
      <c r="A8" s="209" t="s">
        <v>416</v>
      </c>
      <c r="B8" s="233"/>
      <c r="C8" s="233"/>
      <c r="D8" s="233"/>
      <c r="E8" s="233"/>
      <c r="F8" s="233"/>
    </row>
    <row r="9" spans="1:9" ht="19.5" customHeight="1" x14ac:dyDescent="0.25">
      <c r="A9" s="773" t="s">
        <v>1024</v>
      </c>
      <c r="B9" s="773"/>
      <c r="C9" s="773"/>
      <c r="D9" s="773"/>
      <c r="E9" s="773"/>
      <c r="F9" s="773"/>
    </row>
    <row r="10" spans="1:9" ht="15.6" x14ac:dyDescent="0.25">
      <c r="A10" s="209"/>
      <c r="B10" s="233"/>
      <c r="C10" s="233"/>
      <c r="D10" s="233"/>
      <c r="E10" s="233"/>
      <c r="F10" s="233"/>
    </row>
    <row r="11" spans="1:9" ht="36" customHeight="1" x14ac:dyDescent="0.25">
      <c r="A11" s="773" t="s">
        <v>1025</v>
      </c>
      <c r="B11" s="773"/>
      <c r="C11" s="773"/>
      <c r="D11" s="773"/>
      <c r="E11" s="773"/>
      <c r="F11" s="773"/>
    </row>
    <row r="12" spans="1:9" ht="15.6" x14ac:dyDescent="0.25">
      <c r="A12" s="209"/>
      <c r="B12" s="233"/>
      <c r="C12" s="233"/>
      <c r="D12" s="233"/>
      <c r="E12" s="233"/>
      <c r="F12" s="233"/>
    </row>
    <row r="13" spans="1:9" ht="84" customHeight="1" x14ac:dyDescent="0.25">
      <c r="A13" s="773" t="s">
        <v>1026</v>
      </c>
      <c r="B13" s="773"/>
      <c r="C13" s="773"/>
      <c r="D13" s="773"/>
      <c r="E13" s="773"/>
      <c r="F13" s="773"/>
    </row>
    <row r="14" spans="1:9" ht="15.6" x14ac:dyDescent="0.25">
      <c r="A14" s="209"/>
      <c r="B14" s="233"/>
      <c r="C14" s="233"/>
      <c r="D14" s="233"/>
      <c r="E14" s="233"/>
      <c r="F14" s="233"/>
    </row>
    <row r="15" spans="1:9" ht="18" customHeight="1" x14ac:dyDescent="0.25">
      <c r="A15" s="773" t="s">
        <v>1027</v>
      </c>
      <c r="B15" s="773"/>
      <c r="C15" s="773"/>
      <c r="D15" s="773"/>
      <c r="E15" s="773"/>
      <c r="F15" s="773"/>
    </row>
    <row r="16" spans="1:9" ht="15.6" x14ac:dyDescent="0.25">
      <c r="A16" s="209"/>
      <c r="B16" s="233"/>
      <c r="C16" s="233"/>
      <c r="D16" s="233"/>
      <c r="E16" s="233"/>
      <c r="F16" s="233"/>
    </row>
    <row r="17" spans="1:6" ht="96.75" customHeight="1" x14ac:dyDescent="0.25">
      <c r="A17" s="773" t="s">
        <v>1028</v>
      </c>
      <c r="B17" s="773"/>
      <c r="C17" s="773"/>
      <c r="D17" s="773"/>
      <c r="E17" s="773"/>
      <c r="F17" s="773"/>
    </row>
    <row r="18" spans="1:6" ht="15.6" x14ac:dyDescent="0.25">
      <c r="A18" s="209"/>
      <c r="B18" s="233"/>
      <c r="C18" s="233"/>
      <c r="D18" s="233"/>
      <c r="E18" s="233"/>
      <c r="F18" s="233"/>
    </row>
    <row r="19" spans="1:6" ht="51" customHeight="1" x14ac:dyDescent="0.25">
      <c r="A19" s="773" t="s">
        <v>1029</v>
      </c>
      <c r="B19" s="773"/>
      <c r="C19" s="773"/>
      <c r="D19" s="773"/>
      <c r="E19" s="773"/>
      <c r="F19" s="773"/>
    </row>
    <row r="20" spans="1:6" ht="15.6" x14ac:dyDescent="0.25">
      <c r="A20" s="209"/>
      <c r="B20" s="233"/>
      <c r="C20" s="233"/>
      <c r="D20" s="233"/>
      <c r="E20" s="233"/>
      <c r="F20" s="233"/>
    </row>
    <row r="21" spans="1:6" ht="69" customHeight="1" x14ac:dyDescent="0.25">
      <c r="A21" s="773" t="s">
        <v>1030</v>
      </c>
      <c r="B21" s="773"/>
      <c r="C21" s="773"/>
      <c r="D21" s="773"/>
      <c r="E21" s="773"/>
      <c r="F21" s="773"/>
    </row>
    <row r="22" spans="1:6" ht="15.6" x14ac:dyDescent="0.25">
      <c r="A22" s="209"/>
      <c r="B22" s="233"/>
      <c r="C22" s="233"/>
      <c r="D22" s="233"/>
      <c r="E22" s="233"/>
      <c r="F22" s="233"/>
    </row>
    <row r="23" spans="1:6" ht="33.75" customHeight="1" x14ac:dyDescent="0.25">
      <c r="A23" s="773" t="s">
        <v>1031</v>
      </c>
      <c r="B23" s="773"/>
      <c r="C23" s="773"/>
      <c r="D23" s="773"/>
      <c r="E23" s="773"/>
      <c r="F23" s="773"/>
    </row>
    <row r="24" spans="1:6" ht="15.6" x14ac:dyDescent="0.25">
      <c r="A24" s="209"/>
      <c r="B24" s="233"/>
      <c r="C24" s="233"/>
      <c r="D24" s="233"/>
      <c r="E24" s="233"/>
      <c r="F24" s="233"/>
    </row>
    <row r="25" spans="1:6" ht="34.5" customHeight="1" x14ac:dyDescent="0.25">
      <c r="A25" s="773" t="s">
        <v>1032</v>
      </c>
      <c r="B25" s="773"/>
      <c r="C25" s="773"/>
      <c r="D25" s="773"/>
      <c r="E25" s="773"/>
      <c r="F25" s="773"/>
    </row>
    <row r="26" spans="1:6" ht="15.6" x14ac:dyDescent="0.25">
      <c r="A26" s="209"/>
      <c r="B26" s="233"/>
      <c r="C26" s="233"/>
      <c r="D26" s="233"/>
      <c r="E26" s="233"/>
      <c r="F26" s="233"/>
    </row>
    <row r="27" spans="1:6" ht="51" customHeight="1" x14ac:dyDescent="0.25">
      <c r="A27" s="773" t="s">
        <v>1033</v>
      </c>
      <c r="B27" s="773"/>
      <c r="C27" s="773"/>
      <c r="D27" s="773"/>
      <c r="E27" s="773"/>
      <c r="F27" s="773"/>
    </row>
    <row r="28" spans="1:6" ht="15.6" x14ac:dyDescent="0.25">
      <c r="A28" s="209"/>
      <c r="B28" s="233"/>
      <c r="C28" s="233"/>
      <c r="D28" s="233"/>
      <c r="E28" s="233"/>
      <c r="F28" s="233"/>
    </row>
    <row r="29" spans="1:6" ht="33.75" customHeight="1" x14ac:dyDescent="0.25">
      <c r="A29" s="773" t="s">
        <v>1034</v>
      </c>
      <c r="B29" s="773"/>
      <c r="C29" s="773"/>
      <c r="D29" s="773"/>
      <c r="E29" s="773"/>
      <c r="F29" s="773"/>
    </row>
    <row r="30" spans="1:6" ht="15.6" x14ac:dyDescent="0.25">
      <c r="A30" s="209"/>
      <c r="B30" s="233"/>
      <c r="C30" s="233"/>
      <c r="D30" s="233"/>
      <c r="E30" s="233"/>
      <c r="F30" s="233"/>
    </row>
    <row r="31" spans="1:6" ht="36" customHeight="1" x14ac:dyDescent="0.25">
      <c r="A31" s="773" t="s">
        <v>1035</v>
      </c>
      <c r="B31" s="773"/>
      <c r="C31" s="773"/>
      <c r="D31" s="773"/>
      <c r="E31" s="773"/>
      <c r="F31" s="773"/>
    </row>
    <row r="32" spans="1:6" ht="15.6" x14ac:dyDescent="0.25">
      <c r="A32" s="209"/>
      <c r="B32" s="233"/>
      <c r="C32" s="233"/>
      <c r="D32" s="233"/>
      <c r="E32" s="233"/>
      <c r="F32" s="233"/>
    </row>
    <row r="33" spans="1:7" ht="15.6" x14ac:dyDescent="0.25">
      <c r="A33" s="209"/>
      <c r="B33" s="233"/>
      <c r="C33" s="233"/>
      <c r="D33" s="233"/>
      <c r="E33" s="233"/>
      <c r="F33" s="233"/>
    </row>
    <row r="34" spans="1:7" s="211" customFormat="1" ht="15.6" x14ac:dyDescent="0.3">
      <c r="A34" s="234" t="s">
        <v>1036</v>
      </c>
      <c r="B34" s="234"/>
      <c r="C34" s="234"/>
      <c r="D34" s="234"/>
      <c r="E34" s="234"/>
      <c r="F34" s="234"/>
    </row>
    <row r="35" spans="1:7" s="211" customFormat="1" ht="63.75" customHeight="1" x14ac:dyDescent="0.3">
      <c r="A35" s="773" t="s">
        <v>1037</v>
      </c>
      <c r="B35" s="773"/>
      <c r="C35" s="773"/>
      <c r="D35" s="773"/>
      <c r="E35" s="773"/>
      <c r="F35" s="773"/>
    </row>
    <row r="36" spans="1:7" s="211" customFormat="1" ht="16.2" thickBot="1" x14ac:dyDescent="0.35">
      <c r="A36" s="210"/>
      <c r="B36" s="210"/>
      <c r="C36" s="210"/>
      <c r="D36" s="210"/>
      <c r="E36" s="210"/>
      <c r="F36" s="210"/>
    </row>
    <row r="37" spans="1:7" ht="28.2" thickBot="1" x14ac:dyDescent="0.35">
      <c r="A37" s="235" t="s">
        <v>1038</v>
      </c>
      <c r="B37" s="236" t="s">
        <v>1039</v>
      </c>
      <c r="C37" s="237" t="s">
        <v>1040</v>
      </c>
      <c r="D37" s="238" t="s">
        <v>1041</v>
      </c>
      <c r="E37" s="239" t="s">
        <v>1042</v>
      </c>
      <c r="F37" s="240" t="s">
        <v>1043</v>
      </c>
      <c r="G37" s="694" t="s">
        <v>1580</v>
      </c>
    </row>
    <row r="38" spans="1:7" ht="15" thickTop="1" thickBot="1" x14ac:dyDescent="0.35">
      <c r="A38" s="241">
        <v>1</v>
      </c>
      <c r="B38" s="242">
        <v>2</v>
      </c>
      <c r="C38" s="243">
        <v>3</v>
      </c>
      <c r="D38" s="244">
        <v>4</v>
      </c>
      <c r="E38" s="245">
        <v>5</v>
      </c>
      <c r="F38" s="246">
        <v>6</v>
      </c>
    </row>
    <row r="39" spans="1:7" ht="13.8" x14ac:dyDescent="0.3">
      <c r="A39" s="247"/>
      <c r="B39" s="248"/>
      <c r="C39" s="249"/>
      <c r="D39" s="250"/>
      <c r="E39" s="251"/>
      <c r="F39" s="252"/>
    </row>
    <row r="40" spans="1:7" ht="15.6" x14ac:dyDescent="0.3">
      <c r="A40" s="253" t="s">
        <v>614</v>
      </c>
      <c r="B40" s="254" t="s">
        <v>1044</v>
      </c>
      <c r="C40" s="255"/>
      <c r="D40" s="255"/>
      <c r="E40" s="256"/>
      <c r="F40" s="257"/>
    </row>
    <row r="41" spans="1:7" ht="13.8" x14ac:dyDescent="0.3">
      <c r="A41" s="247"/>
      <c r="B41" s="258"/>
      <c r="C41" s="249"/>
      <c r="D41" s="250"/>
      <c r="E41" s="251"/>
      <c r="F41" s="252"/>
    </row>
    <row r="42" spans="1:7" ht="13.8" x14ac:dyDescent="0.3">
      <c r="A42" s="247"/>
      <c r="B42" s="259" t="s">
        <v>404</v>
      </c>
      <c r="C42" s="249"/>
      <c r="D42" s="250"/>
      <c r="E42" s="251"/>
      <c r="F42" s="252"/>
    </row>
    <row r="43" spans="1:7" ht="13.8" customHeight="1" x14ac:dyDescent="0.25">
      <c r="A43" s="220"/>
      <c r="B43" s="782" t="s">
        <v>1045</v>
      </c>
      <c r="C43" s="782"/>
      <c r="D43" s="782"/>
      <c r="E43" s="782"/>
      <c r="F43" s="782"/>
      <c r="G43" s="782"/>
    </row>
    <row r="44" spans="1:7" ht="13.8" x14ac:dyDescent="0.3">
      <c r="A44" s="220"/>
      <c r="B44" s="794" t="s">
        <v>1046</v>
      </c>
      <c r="C44" s="794"/>
      <c r="D44" s="794"/>
      <c r="E44" s="794"/>
      <c r="F44" s="794"/>
    </row>
    <row r="45" spans="1:7" ht="13.8" x14ac:dyDescent="0.3">
      <c r="A45" s="220"/>
      <c r="B45" s="794" t="s">
        <v>1047</v>
      </c>
      <c r="C45" s="794"/>
      <c r="D45" s="794"/>
      <c r="E45" s="794"/>
      <c r="F45" s="794"/>
    </row>
    <row r="46" spans="1:7" ht="13.8" x14ac:dyDescent="0.3">
      <c r="A46" s="247"/>
      <c r="B46" s="258"/>
      <c r="C46" s="249"/>
      <c r="D46" s="250"/>
      <c r="E46" s="251"/>
      <c r="F46" s="252"/>
    </row>
    <row r="47" spans="1:7" ht="13.8" x14ac:dyDescent="0.3">
      <c r="A47" s="260" t="s">
        <v>11</v>
      </c>
      <c r="B47" s="261" t="s">
        <v>1048</v>
      </c>
      <c r="C47" s="262"/>
      <c r="D47" s="262"/>
      <c r="E47" s="263"/>
      <c r="F47" s="264"/>
    </row>
    <row r="48" spans="1:7" ht="13.8" x14ac:dyDescent="0.3">
      <c r="A48" s="247"/>
      <c r="B48" s="248"/>
      <c r="C48" s="249"/>
      <c r="D48" s="250"/>
      <c r="E48" s="251"/>
      <c r="F48" s="252"/>
    </row>
    <row r="49" spans="1:6" ht="13.8" x14ac:dyDescent="0.3">
      <c r="A49" s="265" t="s">
        <v>1049</v>
      </c>
      <c r="B49" s="248"/>
      <c r="C49" s="265"/>
      <c r="D49" s="266"/>
      <c r="E49" s="251"/>
      <c r="F49" s="267"/>
    </row>
    <row r="50" spans="1:6" ht="96.6" x14ac:dyDescent="0.3">
      <c r="A50" s="265"/>
      <c r="B50" s="268" t="s">
        <v>1050</v>
      </c>
      <c r="C50" s="265"/>
      <c r="D50" s="269"/>
      <c r="E50" s="252"/>
      <c r="F50" s="270"/>
    </row>
    <row r="51" spans="1:6" ht="13.8" x14ac:dyDescent="0.3">
      <c r="A51" s="265"/>
      <c r="B51" s="268"/>
      <c r="C51" s="265"/>
      <c r="D51" s="269"/>
      <c r="E51" s="252"/>
      <c r="F51" s="270"/>
    </row>
    <row r="52" spans="1:6" ht="13.8" x14ac:dyDescent="0.3">
      <c r="A52" s="265"/>
      <c r="B52" s="268" t="s">
        <v>1051</v>
      </c>
      <c r="C52" s="265" t="s">
        <v>632</v>
      </c>
      <c r="D52" s="271">
        <v>10</v>
      </c>
      <c r="E52" s="272"/>
      <c r="F52" s="273">
        <f>D52*E52</f>
        <v>0</v>
      </c>
    </row>
    <row r="53" spans="1:6" ht="13.8" x14ac:dyDescent="0.3">
      <c r="A53" s="265"/>
      <c r="B53" s="268"/>
      <c r="C53" s="265"/>
      <c r="D53" s="269"/>
      <c r="E53" s="251"/>
      <c r="F53" s="267"/>
    </row>
    <row r="54" spans="1:6" ht="27.6" x14ac:dyDescent="0.3">
      <c r="A54" s="265"/>
      <c r="B54" s="268" t="s">
        <v>1052</v>
      </c>
      <c r="C54" s="265"/>
      <c r="D54" s="269"/>
      <c r="E54" s="251"/>
      <c r="F54" s="267"/>
    </row>
    <row r="55" spans="1:6" ht="13.8" x14ac:dyDescent="0.3">
      <c r="A55" s="265"/>
      <c r="B55" s="274"/>
      <c r="C55" s="265" t="s">
        <v>1053</v>
      </c>
      <c r="D55" s="271">
        <v>1</v>
      </c>
      <c r="E55" s="272"/>
      <c r="F55" s="273">
        <f>D55*E55</f>
        <v>0</v>
      </c>
    </row>
    <row r="56" spans="1:6" ht="13.8" x14ac:dyDescent="0.3">
      <c r="A56" s="265"/>
      <c r="B56" s="275" t="s">
        <v>1021</v>
      </c>
      <c r="C56" s="265"/>
      <c r="D56" s="271"/>
      <c r="E56" s="251"/>
      <c r="F56" s="267"/>
    </row>
    <row r="57" spans="1:6" ht="13.8" x14ac:dyDescent="0.3">
      <c r="A57" s="265"/>
      <c r="B57" s="275"/>
      <c r="C57" s="265"/>
      <c r="D57" s="271"/>
      <c r="E57" s="251"/>
      <c r="F57" s="267"/>
    </row>
    <row r="58" spans="1:6" ht="55.2" x14ac:dyDescent="0.3">
      <c r="A58" s="265"/>
      <c r="B58" s="275" t="s">
        <v>1054</v>
      </c>
      <c r="C58" s="265"/>
      <c r="D58" s="269"/>
      <c r="E58" s="251"/>
      <c r="F58" s="267"/>
    </row>
    <row r="59" spans="1:6" ht="13.8" x14ac:dyDescent="0.3">
      <c r="A59" s="265"/>
      <c r="B59" s="274"/>
      <c r="C59" s="265"/>
      <c r="D59" s="271"/>
      <c r="E59" s="251"/>
      <c r="F59" s="267"/>
    </row>
    <row r="60" spans="1:6" ht="13.8" x14ac:dyDescent="0.3">
      <c r="A60" s="265" t="s">
        <v>1055</v>
      </c>
      <c r="B60" s="274"/>
      <c r="C60" s="265"/>
      <c r="D60" s="271"/>
      <c r="E60" s="251"/>
      <c r="F60" s="267"/>
    </row>
    <row r="61" spans="1:6" ht="27.6" x14ac:dyDescent="0.3">
      <c r="A61" s="265"/>
      <c r="B61" s="274" t="s">
        <v>1056</v>
      </c>
      <c r="C61" s="265"/>
      <c r="D61" s="271"/>
      <c r="E61" s="251"/>
      <c r="F61" s="267"/>
    </row>
    <row r="62" spans="1:6" ht="13.8" x14ac:dyDescent="0.3">
      <c r="A62" s="265"/>
      <c r="B62" s="274"/>
      <c r="C62" s="265"/>
      <c r="D62" s="271"/>
      <c r="E62" s="251"/>
      <c r="F62" s="267"/>
    </row>
    <row r="63" spans="1:6" ht="13.8" x14ac:dyDescent="0.3">
      <c r="A63" s="265"/>
      <c r="B63" s="274" t="s">
        <v>1057</v>
      </c>
      <c r="C63" s="265" t="s">
        <v>867</v>
      </c>
      <c r="D63" s="271">
        <v>1</v>
      </c>
      <c r="E63" s="272"/>
      <c r="F63" s="273">
        <f t="shared" ref="F63:F66" si="0">D63*E63</f>
        <v>0</v>
      </c>
    </row>
    <row r="64" spans="1:6" ht="13.8" x14ac:dyDescent="0.3">
      <c r="A64" s="265"/>
      <c r="B64" s="274" t="s">
        <v>1058</v>
      </c>
      <c r="C64" s="265" t="s">
        <v>867</v>
      </c>
      <c r="D64" s="271">
        <v>4</v>
      </c>
      <c r="E64" s="272"/>
      <c r="F64" s="273">
        <f t="shared" si="0"/>
        <v>0</v>
      </c>
    </row>
    <row r="65" spans="1:6" ht="13.8" x14ac:dyDescent="0.3">
      <c r="A65" s="265"/>
      <c r="B65" s="274" t="s">
        <v>1059</v>
      </c>
      <c r="C65" s="265" t="s">
        <v>867</v>
      </c>
      <c r="D65" s="271">
        <v>1</v>
      </c>
      <c r="E65" s="272"/>
      <c r="F65" s="273">
        <f t="shared" si="0"/>
        <v>0</v>
      </c>
    </row>
    <row r="66" spans="1:6" ht="13.8" x14ac:dyDescent="0.3">
      <c r="A66" s="265"/>
      <c r="B66" s="274" t="s">
        <v>1060</v>
      </c>
      <c r="C66" s="265" t="s">
        <v>1053</v>
      </c>
      <c r="D66" s="271">
        <v>1</v>
      </c>
      <c r="E66" s="272"/>
      <c r="F66" s="273">
        <f t="shared" si="0"/>
        <v>0</v>
      </c>
    </row>
    <row r="67" spans="1:6" ht="13.8" x14ac:dyDescent="0.3">
      <c r="A67" s="265"/>
      <c r="B67" s="274"/>
      <c r="C67" s="265"/>
      <c r="D67" s="271"/>
      <c r="E67" s="251"/>
      <c r="F67" s="267"/>
    </row>
    <row r="68" spans="1:6" ht="13.8" x14ac:dyDescent="0.3">
      <c r="A68" s="265"/>
      <c r="B68" s="274"/>
      <c r="C68" s="265"/>
      <c r="D68" s="271"/>
      <c r="E68" s="251"/>
      <c r="F68" s="267"/>
    </row>
    <row r="69" spans="1:6" ht="13.8" x14ac:dyDescent="0.3">
      <c r="A69" s="265" t="s">
        <v>1061</v>
      </c>
      <c r="B69" s="268"/>
      <c r="C69" s="266"/>
      <c r="D69" s="271"/>
      <c r="E69" s="251"/>
      <c r="F69" s="281"/>
    </row>
    <row r="70" spans="1:6" ht="151.80000000000001" x14ac:dyDescent="0.3">
      <c r="A70" s="282"/>
      <c r="B70" s="276" t="s">
        <v>1063</v>
      </c>
      <c r="C70" s="277"/>
      <c r="D70" s="277"/>
      <c r="E70" s="251"/>
      <c r="F70" s="281"/>
    </row>
    <row r="71" spans="1:6" ht="13.8" x14ac:dyDescent="0.3">
      <c r="A71" s="266"/>
      <c r="B71" s="278"/>
      <c r="C71" s="279" t="s">
        <v>19</v>
      </c>
      <c r="D71" s="280">
        <v>60</v>
      </c>
      <c r="E71" s="272"/>
      <c r="F71" s="273">
        <f>D71*E71</f>
        <v>0</v>
      </c>
    </row>
    <row r="72" spans="1:6" ht="13.8" x14ac:dyDescent="0.3">
      <c r="A72" s="266"/>
      <c r="B72" s="278"/>
      <c r="C72" s="279"/>
      <c r="D72" s="280"/>
      <c r="E72" s="251"/>
      <c r="F72" s="281"/>
    </row>
    <row r="73" spans="1:6" ht="13.8" x14ac:dyDescent="0.3">
      <c r="A73" s="266" t="s">
        <v>1062</v>
      </c>
      <c r="B73" s="278"/>
      <c r="C73" s="279"/>
      <c r="D73" s="280"/>
      <c r="E73" s="251"/>
      <c r="F73" s="281"/>
    </row>
    <row r="74" spans="1:6" ht="27.6" x14ac:dyDescent="0.25">
      <c r="A74" s="266"/>
      <c r="B74" s="283" t="s">
        <v>1065</v>
      </c>
      <c r="C74" s="266"/>
      <c r="D74" s="266"/>
      <c r="E74" s="284"/>
      <c r="F74" s="281"/>
    </row>
    <row r="75" spans="1:6" ht="13.8" x14ac:dyDescent="0.25">
      <c r="A75" s="266"/>
      <c r="B75" s="283"/>
      <c r="C75" s="266"/>
      <c r="D75" s="266"/>
      <c r="E75" s="284"/>
      <c r="F75" s="281"/>
    </row>
    <row r="76" spans="1:6" ht="29.4" x14ac:dyDescent="0.25">
      <c r="A76" s="265"/>
      <c r="B76" s="283" t="s">
        <v>1066</v>
      </c>
      <c r="C76" s="265"/>
      <c r="D76" s="266"/>
      <c r="E76" s="284"/>
      <c r="F76" s="267"/>
    </row>
    <row r="77" spans="1:6" ht="29.4" x14ac:dyDescent="0.25">
      <c r="A77" s="265"/>
      <c r="B77" s="283" t="s">
        <v>1067</v>
      </c>
      <c r="C77" s="265"/>
      <c r="D77" s="266"/>
      <c r="E77" s="284"/>
      <c r="F77" s="267"/>
    </row>
    <row r="78" spans="1:6" ht="13.8" x14ac:dyDescent="0.25">
      <c r="A78" s="265"/>
      <c r="B78" s="283" t="s">
        <v>1068</v>
      </c>
      <c r="C78" s="265"/>
      <c r="D78" s="266"/>
      <c r="E78" s="284"/>
      <c r="F78" s="267"/>
    </row>
    <row r="79" spans="1:6" ht="13.8" x14ac:dyDescent="0.25">
      <c r="A79" s="265"/>
      <c r="B79" s="283" t="s">
        <v>1069</v>
      </c>
      <c r="C79" s="265"/>
      <c r="D79" s="266"/>
      <c r="E79" s="284"/>
      <c r="F79" s="267"/>
    </row>
    <row r="80" spans="1:6" ht="13.8" x14ac:dyDescent="0.25">
      <c r="A80" s="266"/>
      <c r="B80" s="283" t="s">
        <v>1070</v>
      </c>
      <c r="C80" s="266"/>
      <c r="D80" s="266"/>
      <c r="E80" s="284"/>
      <c r="F80" s="281"/>
    </row>
    <row r="81" spans="1:6" ht="27.6" x14ac:dyDescent="0.25">
      <c r="A81" s="265"/>
      <c r="B81" s="283" t="s">
        <v>1071</v>
      </c>
      <c r="C81" s="265"/>
      <c r="D81" s="266"/>
      <c r="E81" s="284"/>
      <c r="F81" s="267"/>
    </row>
    <row r="82" spans="1:6" ht="13.8" x14ac:dyDescent="0.25">
      <c r="A82" s="266"/>
      <c r="B82" s="283" t="s">
        <v>1072</v>
      </c>
      <c r="C82" s="266"/>
      <c r="D82" s="266"/>
      <c r="E82" s="284"/>
      <c r="F82" s="281"/>
    </row>
    <row r="83" spans="1:6" ht="41.4" x14ac:dyDescent="0.3">
      <c r="A83" s="265"/>
      <c r="B83" s="283" t="s">
        <v>1073</v>
      </c>
      <c r="C83" s="221"/>
      <c r="D83" s="186"/>
      <c r="E83" s="285"/>
      <c r="F83" s="267"/>
    </row>
    <row r="84" spans="1:6" ht="41.4" x14ac:dyDescent="0.25">
      <c r="A84" s="286"/>
      <c r="B84" s="287" t="s">
        <v>1074</v>
      </c>
      <c r="C84" s="288"/>
      <c r="D84" s="289"/>
      <c r="E84" s="290"/>
      <c r="F84" s="289"/>
    </row>
    <row r="85" spans="1:6" ht="27.6" x14ac:dyDescent="0.25">
      <c r="A85" s="286"/>
      <c r="B85" s="287" t="s">
        <v>1075</v>
      </c>
      <c r="C85" s="288"/>
      <c r="D85" s="289"/>
      <c r="E85" s="290"/>
      <c r="F85" s="289"/>
    </row>
    <row r="86" spans="1:6" ht="13.8" x14ac:dyDescent="0.25">
      <c r="A86" s="286"/>
      <c r="B86" s="287" t="s">
        <v>1076</v>
      </c>
      <c r="C86" s="288"/>
      <c r="D86" s="289"/>
      <c r="E86" s="290"/>
      <c r="F86" s="289"/>
    </row>
    <row r="87" spans="1:6" ht="13.8" x14ac:dyDescent="0.3">
      <c r="A87" s="266"/>
      <c r="B87" s="268"/>
      <c r="C87" s="266" t="s">
        <v>1053</v>
      </c>
      <c r="D87" s="271">
        <v>1</v>
      </c>
      <c r="E87" s="272"/>
      <c r="F87" s="273">
        <f>D87*E87</f>
        <v>0</v>
      </c>
    </row>
    <row r="88" spans="1:6" ht="13.8" x14ac:dyDescent="0.3">
      <c r="A88" s="266"/>
      <c r="B88" s="268"/>
      <c r="C88" s="266"/>
      <c r="D88" s="271"/>
      <c r="E88" s="251"/>
      <c r="F88" s="281"/>
    </row>
    <row r="89" spans="1:6" ht="13.8" x14ac:dyDescent="0.3">
      <c r="A89" s="266" t="s">
        <v>1064</v>
      </c>
      <c r="B89" s="268"/>
      <c r="C89" s="266"/>
      <c r="D89" s="271"/>
      <c r="E89" s="251"/>
      <c r="F89" s="281"/>
    </row>
    <row r="90" spans="1:6" ht="27.6" x14ac:dyDescent="0.3">
      <c r="A90" s="266"/>
      <c r="B90" s="268" t="s">
        <v>1078</v>
      </c>
      <c r="C90" s="266"/>
      <c r="D90" s="271"/>
      <c r="E90" s="251"/>
      <c r="F90" s="281"/>
    </row>
    <row r="91" spans="1:6" ht="13.8" x14ac:dyDescent="0.3">
      <c r="A91" s="266"/>
      <c r="B91" s="268"/>
      <c r="C91" s="266"/>
      <c r="D91" s="271"/>
      <c r="E91" s="251"/>
      <c r="F91" s="281"/>
    </row>
    <row r="92" spans="1:6" ht="13.8" x14ac:dyDescent="0.3">
      <c r="A92" s="266"/>
      <c r="B92" s="268" t="s">
        <v>1079</v>
      </c>
      <c r="C92" s="266" t="s">
        <v>632</v>
      </c>
      <c r="D92" s="271">
        <v>2</v>
      </c>
      <c r="E92" s="272"/>
      <c r="F92" s="273">
        <f>D92*E92</f>
        <v>0</v>
      </c>
    </row>
    <row r="93" spans="1:6" ht="13.8" x14ac:dyDescent="0.3">
      <c r="A93" s="266"/>
      <c r="B93" s="268"/>
      <c r="C93" s="266"/>
      <c r="D93" s="271"/>
      <c r="E93" s="251"/>
      <c r="F93" s="281"/>
    </row>
    <row r="94" spans="1:6" ht="13.8" x14ac:dyDescent="0.3">
      <c r="A94" s="266" t="s">
        <v>1077</v>
      </c>
      <c r="B94" s="268"/>
      <c r="C94" s="266"/>
      <c r="D94" s="271"/>
      <c r="E94" s="251"/>
      <c r="F94" s="281"/>
    </row>
    <row r="95" spans="1:6" ht="27.6" x14ac:dyDescent="0.3">
      <c r="A95" s="266"/>
      <c r="B95" s="268" t="s">
        <v>1081</v>
      </c>
      <c r="C95" s="221"/>
      <c r="D95" s="186"/>
      <c r="E95" s="251"/>
      <c r="F95" s="281"/>
    </row>
    <row r="96" spans="1:6" ht="13.8" x14ac:dyDescent="0.3">
      <c r="A96" s="266"/>
      <c r="B96" s="268"/>
      <c r="C96" s="221"/>
      <c r="D96" s="186"/>
      <c r="E96" s="251"/>
      <c r="F96" s="281"/>
    </row>
    <row r="97" spans="1:6" ht="13.8" x14ac:dyDescent="0.3">
      <c r="A97" s="266"/>
      <c r="B97" s="268" t="s">
        <v>1082</v>
      </c>
      <c r="C97" s="250" t="s">
        <v>632</v>
      </c>
      <c r="D97" s="291">
        <v>2</v>
      </c>
      <c r="E97" s="272"/>
      <c r="F97" s="273">
        <f t="shared" ref="F97:F98" si="1">D97*E97</f>
        <v>0</v>
      </c>
    </row>
    <row r="98" spans="1:6" ht="13.8" x14ac:dyDescent="0.3">
      <c r="A98" s="266"/>
      <c r="B98" s="268" t="s">
        <v>1083</v>
      </c>
      <c r="C98" s="250" t="s">
        <v>632</v>
      </c>
      <c r="D98" s="291">
        <v>2</v>
      </c>
      <c r="E98" s="272"/>
      <c r="F98" s="273">
        <f t="shared" si="1"/>
        <v>0</v>
      </c>
    </row>
    <row r="99" spans="1:6" ht="13.8" x14ac:dyDescent="0.3">
      <c r="A99" s="266"/>
      <c r="B99" s="268"/>
      <c r="C99" s="250"/>
      <c r="D99" s="291"/>
      <c r="E99" s="251"/>
      <c r="F99" s="281"/>
    </row>
    <row r="100" spans="1:6" ht="13.8" x14ac:dyDescent="0.3">
      <c r="A100" s="266" t="s">
        <v>1080</v>
      </c>
      <c r="B100" s="268"/>
      <c r="C100" s="266"/>
      <c r="D100" s="271"/>
      <c r="E100" s="251"/>
      <c r="F100" s="281"/>
    </row>
    <row r="101" spans="1:6" ht="13.8" x14ac:dyDescent="0.3">
      <c r="A101" s="266"/>
      <c r="B101" s="268" t="s">
        <v>1084</v>
      </c>
      <c r="C101" s="266"/>
      <c r="D101" s="271"/>
      <c r="E101" s="251"/>
      <c r="F101" s="281"/>
    </row>
    <row r="102" spans="1:6" ht="96.6" x14ac:dyDescent="0.3">
      <c r="A102" s="266"/>
      <c r="B102" s="268" t="s">
        <v>1085</v>
      </c>
      <c r="C102" s="266"/>
      <c r="D102" s="271"/>
      <c r="E102" s="251"/>
      <c r="F102" s="281"/>
    </row>
    <row r="103" spans="1:6" ht="13.8" x14ac:dyDescent="0.3">
      <c r="A103" s="266"/>
      <c r="B103" s="268"/>
      <c r="C103" s="266" t="s">
        <v>1053</v>
      </c>
      <c r="D103" s="271">
        <v>1</v>
      </c>
      <c r="E103" s="272"/>
      <c r="F103" s="273">
        <f>D103*E103</f>
        <v>0</v>
      </c>
    </row>
    <row r="104" spans="1:6" ht="13.8" x14ac:dyDescent="0.3">
      <c r="A104" s="265"/>
      <c r="B104" s="274"/>
      <c r="C104" s="265"/>
      <c r="D104" s="271"/>
      <c r="E104" s="251"/>
      <c r="F104" s="267"/>
    </row>
    <row r="105" spans="1:6" ht="31.2" x14ac:dyDescent="0.3">
      <c r="A105" s="292" t="s">
        <v>11</v>
      </c>
      <c r="B105" s="293" t="s">
        <v>1048</v>
      </c>
      <c r="C105" s="294"/>
      <c r="D105" s="295"/>
      <c r="E105" s="296"/>
      <c r="F105" s="297"/>
    </row>
    <row r="106" spans="1:6" ht="15.6" x14ac:dyDescent="0.3">
      <c r="A106" s="298"/>
      <c r="B106" s="299"/>
      <c r="C106" s="300"/>
      <c r="D106" s="301"/>
      <c r="E106" s="302"/>
      <c r="F106" s="303"/>
    </row>
    <row r="107" spans="1:6" ht="18" x14ac:dyDescent="0.25">
      <c r="A107" s="298"/>
      <c r="B107" s="304" t="s">
        <v>15</v>
      </c>
      <c r="C107" s="300"/>
      <c r="D107" s="301"/>
      <c r="E107" s="797">
        <f>SUM(F50:F103)</f>
        <v>0</v>
      </c>
      <c r="F107" s="798"/>
    </row>
    <row r="108" spans="1:6" ht="18" x14ac:dyDescent="0.3">
      <c r="A108" s="305"/>
      <c r="B108" s="306"/>
      <c r="C108" s="307"/>
      <c r="D108" s="308"/>
      <c r="E108" s="309"/>
      <c r="F108" s="310"/>
    </row>
    <row r="109" spans="1:6" ht="18" x14ac:dyDescent="0.3">
      <c r="A109" s="311"/>
      <c r="B109" s="312"/>
      <c r="C109" s="301"/>
      <c r="D109" s="301"/>
      <c r="E109" s="302"/>
      <c r="F109" s="313"/>
    </row>
    <row r="110" spans="1:6" ht="13.8" x14ac:dyDescent="0.3">
      <c r="A110" s="247"/>
      <c r="B110" s="248"/>
      <c r="C110" s="249"/>
      <c r="D110" s="250"/>
      <c r="E110" s="251"/>
      <c r="F110" s="252"/>
    </row>
    <row r="111" spans="1:6" ht="13.8" x14ac:dyDescent="0.3">
      <c r="A111" s="260" t="s">
        <v>12</v>
      </c>
      <c r="B111" s="261" t="s">
        <v>1086</v>
      </c>
      <c r="C111" s="262"/>
      <c r="D111" s="262"/>
      <c r="E111" s="263"/>
      <c r="F111" s="264"/>
    </row>
    <row r="112" spans="1:6" ht="13.8" x14ac:dyDescent="0.3">
      <c r="A112" s="314"/>
      <c r="B112" s="283"/>
      <c r="C112" s="250"/>
      <c r="D112" s="250"/>
      <c r="E112" s="251"/>
      <c r="F112" s="315"/>
    </row>
    <row r="113" spans="1:6" ht="13.8" x14ac:dyDescent="0.3">
      <c r="A113" s="316" t="s">
        <v>1087</v>
      </c>
      <c r="B113" s="185"/>
      <c r="C113" s="266"/>
      <c r="D113" s="266"/>
      <c r="E113" s="251"/>
      <c r="F113" s="281"/>
    </row>
    <row r="114" spans="1:6" ht="13.8" x14ac:dyDescent="0.3">
      <c r="A114" s="266"/>
      <c r="B114" s="317" t="s">
        <v>1088</v>
      </c>
      <c r="C114" s="266"/>
      <c r="D114" s="266"/>
      <c r="E114" s="251"/>
      <c r="F114" s="281"/>
    </row>
    <row r="115" spans="1:6" ht="207" x14ac:dyDescent="0.3">
      <c r="A115" s="266"/>
      <c r="B115" s="283" t="s">
        <v>1800</v>
      </c>
      <c r="C115" s="266"/>
      <c r="D115" s="266"/>
      <c r="E115" s="251"/>
      <c r="F115" s="281"/>
    </row>
    <row r="116" spans="1:6" ht="41.4" x14ac:dyDescent="0.3">
      <c r="A116" s="266"/>
      <c r="B116" s="283" t="s">
        <v>1089</v>
      </c>
      <c r="C116" s="266"/>
      <c r="D116" s="266"/>
      <c r="E116" s="251"/>
      <c r="F116" s="281"/>
    </row>
    <row r="117" spans="1:6" ht="41.4" x14ac:dyDescent="0.3">
      <c r="A117" s="266"/>
      <c r="B117" s="283" t="s">
        <v>1090</v>
      </c>
      <c r="C117" s="266"/>
      <c r="D117" s="266"/>
      <c r="E117" s="251"/>
      <c r="F117" s="281"/>
    </row>
    <row r="118" spans="1:6" ht="13.8" x14ac:dyDescent="0.3">
      <c r="A118" s="265"/>
      <c r="B118" s="248"/>
      <c r="C118" s="265"/>
      <c r="D118" s="266"/>
      <c r="E118" s="318"/>
      <c r="F118" s="267"/>
    </row>
    <row r="119" spans="1:6" ht="13.8" x14ac:dyDescent="0.3">
      <c r="A119" s="265" t="s">
        <v>1091</v>
      </c>
      <c r="B119" s="248" t="s">
        <v>1092</v>
      </c>
      <c r="C119" s="265" t="s">
        <v>632</v>
      </c>
      <c r="D119" s="266">
        <v>60</v>
      </c>
      <c r="E119" s="272"/>
      <c r="F119" s="273">
        <f t="shared" ref="F119:F121" si="2">D119*E119</f>
        <v>0</v>
      </c>
    </row>
    <row r="120" spans="1:6" ht="13.8" x14ac:dyDescent="0.3">
      <c r="A120" s="265" t="s">
        <v>1093</v>
      </c>
      <c r="B120" s="268" t="s">
        <v>1094</v>
      </c>
      <c r="C120" s="265" t="s">
        <v>86</v>
      </c>
      <c r="D120" s="271">
        <v>3</v>
      </c>
      <c r="E120" s="272"/>
      <c r="F120" s="273">
        <f t="shared" si="2"/>
        <v>0</v>
      </c>
    </row>
    <row r="121" spans="1:6" ht="13.8" x14ac:dyDescent="0.3">
      <c r="A121" s="265" t="s">
        <v>1095</v>
      </c>
      <c r="B121" s="283" t="s">
        <v>1096</v>
      </c>
      <c r="C121" s="266" t="s">
        <v>867</v>
      </c>
      <c r="D121" s="266">
        <v>2</v>
      </c>
      <c r="E121" s="272"/>
      <c r="F121" s="273">
        <f t="shared" si="2"/>
        <v>0</v>
      </c>
    </row>
    <row r="122" spans="1:6" ht="13.8" x14ac:dyDescent="0.3">
      <c r="A122" s="266"/>
      <c r="B122" s="283"/>
      <c r="C122" s="266"/>
      <c r="D122" s="266"/>
      <c r="E122" s="251"/>
      <c r="F122" s="281"/>
    </row>
    <row r="123" spans="1:6" ht="13.8" x14ac:dyDescent="0.3">
      <c r="A123" s="316" t="s">
        <v>1097</v>
      </c>
      <c r="B123" s="185"/>
      <c r="C123" s="266"/>
      <c r="D123" s="266"/>
      <c r="E123" s="251"/>
      <c r="F123" s="281"/>
    </row>
    <row r="124" spans="1:6" ht="13.8" x14ac:dyDescent="0.3">
      <c r="A124" s="266"/>
      <c r="B124" s="317" t="s">
        <v>1098</v>
      </c>
      <c r="C124" s="266"/>
      <c r="D124" s="266"/>
      <c r="E124" s="251"/>
      <c r="F124" s="281"/>
    </row>
    <row r="125" spans="1:6" ht="110.4" customHeight="1" x14ac:dyDescent="0.3">
      <c r="A125" s="266"/>
      <c r="B125" s="283" t="s">
        <v>1801</v>
      </c>
      <c r="C125" s="266"/>
      <c r="D125" s="266"/>
      <c r="E125" s="251"/>
      <c r="F125" s="281"/>
    </row>
    <row r="126" spans="1:6" ht="41.4" x14ac:dyDescent="0.3">
      <c r="A126" s="266"/>
      <c r="B126" s="283" t="s">
        <v>1089</v>
      </c>
      <c r="C126" s="266"/>
      <c r="D126" s="266"/>
      <c r="E126" s="251"/>
      <c r="F126" s="281"/>
    </row>
    <row r="127" spans="1:6" ht="41.4" x14ac:dyDescent="0.3">
      <c r="A127" s="266"/>
      <c r="B127" s="283" t="s">
        <v>1090</v>
      </c>
      <c r="C127" s="266"/>
      <c r="D127" s="266"/>
      <c r="E127" s="251"/>
      <c r="F127" s="281"/>
    </row>
    <row r="128" spans="1:6" ht="13.8" x14ac:dyDescent="0.3">
      <c r="A128" s="265"/>
      <c r="B128" s="248"/>
      <c r="C128" s="265"/>
      <c r="D128" s="266"/>
      <c r="E128" s="318"/>
      <c r="F128" s="267"/>
    </row>
    <row r="129" spans="1:6" ht="13.8" x14ac:dyDescent="0.3">
      <c r="A129" s="265" t="s">
        <v>1099</v>
      </c>
      <c r="B129" s="248" t="s">
        <v>1100</v>
      </c>
      <c r="C129" s="265" t="s">
        <v>632</v>
      </c>
      <c r="D129" s="266">
        <v>5</v>
      </c>
      <c r="E129" s="272"/>
      <c r="F129" s="273">
        <f>D129*E129</f>
        <v>0</v>
      </c>
    </row>
    <row r="130" spans="1:6" ht="13.8" x14ac:dyDescent="0.3">
      <c r="A130" s="265" t="s">
        <v>1101</v>
      </c>
      <c r="B130" s="268" t="s">
        <v>1102</v>
      </c>
      <c r="C130" s="265" t="s">
        <v>632</v>
      </c>
      <c r="D130" s="266">
        <v>1</v>
      </c>
      <c r="E130" s="272"/>
      <c r="F130" s="273">
        <f>D130*E130</f>
        <v>0</v>
      </c>
    </row>
    <row r="131" spans="1:6" ht="13.8" x14ac:dyDescent="0.3">
      <c r="A131" s="265"/>
      <c r="B131" s="268"/>
      <c r="C131" s="265"/>
      <c r="D131" s="271"/>
      <c r="E131" s="251"/>
      <c r="F131" s="267"/>
    </row>
    <row r="132" spans="1:6" ht="13.8" x14ac:dyDescent="0.3">
      <c r="A132" s="265"/>
      <c r="B132" s="258" t="s">
        <v>404</v>
      </c>
      <c r="C132" s="266"/>
      <c r="D132" s="266"/>
      <c r="E132" s="319"/>
      <c r="F132" s="320"/>
    </row>
    <row r="133" spans="1:6" ht="41.4" x14ac:dyDescent="0.3">
      <c r="A133" s="265"/>
      <c r="B133" s="258" t="s">
        <v>1103</v>
      </c>
      <c r="C133" s="266"/>
      <c r="D133" s="266"/>
      <c r="E133" s="319"/>
      <c r="F133" s="320"/>
    </row>
    <row r="134" spans="1:6" ht="13.8" x14ac:dyDescent="0.3">
      <c r="A134" s="265"/>
      <c r="B134" s="248"/>
      <c r="C134" s="265"/>
      <c r="D134" s="266"/>
      <c r="E134" s="251"/>
      <c r="F134" s="267"/>
    </row>
    <row r="135" spans="1:6" ht="13.8" x14ac:dyDescent="0.25">
      <c r="A135" s="265" t="s">
        <v>1104</v>
      </c>
      <c r="B135" s="248" t="s">
        <v>1105</v>
      </c>
      <c r="C135" s="265"/>
      <c r="D135" s="266"/>
      <c r="E135" s="321"/>
      <c r="F135" s="267"/>
    </row>
    <row r="136" spans="1:6" ht="27.6" x14ac:dyDescent="0.3">
      <c r="A136" s="265"/>
      <c r="B136" s="248" t="s">
        <v>1106</v>
      </c>
      <c r="C136" s="265"/>
      <c r="D136" s="266"/>
      <c r="E136" s="251"/>
      <c r="F136" s="267"/>
    </row>
    <row r="137" spans="1:6" ht="13.8" x14ac:dyDescent="0.3">
      <c r="A137" s="265"/>
      <c r="B137" s="248"/>
      <c r="C137" s="265"/>
      <c r="D137" s="266"/>
      <c r="E137" s="318"/>
      <c r="F137" s="267"/>
    </row>
    <row r="138" spans="1:6" ht="13.8" x14ac:dyDescent="0.3">
      <c r="A138" s="265"/>
      <c r="B138" s="248" t="s">
        <v>1107</v>
      </c>
      <c r="C138" s="265" t="s">
        <v>867</v>
      </c>
      <c r="D138" s="322">
        <v>1</v>
      </c>
      <c r="E138" s="272"/>
      <c r="F138" s="273">
        <f>D138*E138</f>
        <v>0</v>
      </c>
    </row>
    <row r="139" spans="1:6" ht="13.8" x14ac:dyDescent="0.3">
      <c r="A139" s="265"/>
      <c r="B139" s="248"/>
      <c r="C139" s="265"/>
      <c r="D139" s="266"/>
      <c r="E139" s="251"/>
      <c r="F139" s="267"/>
    </row>
    <row r="140" spans="1:6" ht="13.8" x14ac:dyDescent="0.3">
      <c r="A140" s="265" t="s">
        <v>1108</v>
      </c>
      <c r="B140" s="248"/>
      <c r="C140" s="265"/>
      <c r="D140" s="266"/>
      <c r="E140" s="251"/>
      <c r="F140" s="267"/>
    </row>
    <row r="141" spans="1:6" ht="55.2" x14ac:dyDescent="0.3">
      <c r="A141" s="265"/>
      <c r="B141" s="248" t="s">
        <v>1109</v>
      </c>
      <c r="C141" s="265"/>
      <c r="D141" s="266"/>
      <c r="E141" s="251"/>
      <c r="F141" s="267"/>
    </row>
    <row r="142" spans="1:6" ht="13.8" x14ac:dyDescent="0.3">
      <c r="A142" s="265"/>
      <c r="B142" s="248"/>
      <c r="C142" s="265"/>
      <c r="D142" s="266"/>
      <c r="E142" s="251"/>
      <c r="F142" s="267"/>
    </row>
    <row r="143" spans="1:6" ht="151.80000000000001" x14ac:dyDescent="0.3">
      <c r="A143" s="265"/>
      <c r="B143" s="248" t="s">
        <v>1110</v>
      </c>
      <c r="C143" s="265"/>
      <c r="D143" s="266"/>
      <c r="E143" s="251"/>
      <c r="F143" s="267"/>
    </row>
    <row r="144" spans="1:6" ht="13.8" x14ac:dyDescent="0.3">
      <c r="A144" s="265"/>
      <c r="B144" s="248"/>
      <c r="C144" s="265"/>
      <c r="D144" s="266"/>
      <c r="E144" s="251"/>
      <c r="F144" s="267"/>
    </row>
    <row r="145" spans="1:6" ht="138" x14ac:dyDescent="0.3">
      <c r="A145" s="265"/>
      <c r="B145" s="248" t="s">
        <v>1111</v>
      </c>
      <c r="C145" s="265"/>
      <c r="D145" s="266"/>
      <c r="E145" s="251"/>
      <c r="F145" s="267"/>
    </row>
    <row r="146" spans="1:6" ht="13.8" x14ac:dyDescent="0.3">
      <c r="A146" s="265"/>
      <c r="B146" s="248"/>
      <c r="C146" s="265" t="s">
        <v>1053</v>
      </c>
      <c r="D146" s="266">
        <v>1</v>
      </c>
      <c r="E146" s="272"/>
      <c r="F146" s="273">
        <f>D146*E146</f>
        <v>0</v>
      </c>
    </row>
    <row r="147" spans="1:6" ht="13.8" x14ac:dyDescent="0.3">
      <c r="A147" s="265"/>
      <c r="B147" s="248"/>
      <c r="C147" s="265"/>
      <c r="D147" s="266"/>
      <c r="E147" s="251"/>
      <c r="F147" s="267"/>
    </row>
    <row r="148" spans="1:6" ht="15.6" x14ac:dyDescent="0.3">
      <c r="A148" s="292" t="s">
        <v>12</v>
      </c>
      <c r="B148" s="293" t="s">
        <v>1086</v>
      </c>
      <c r="C148" s="294"/>
      <c r="D148" s="295"/>
      <c r="E148" s="296"/>
      <c r="F148" s="297"/>
    </row>
    <row r="149" spans="1:6" ht="15.6" x14ac:dyDescent="0.3">
      <c r="A149" s="298"/>
      <c r="B149" s="299"/>
      <c r="C149" s="300"/>
      <c r="D149" s="301"/>
      <c r="E149" s="302"/>
      <c r="F149" s="303"/>
    </row>
    <row r="150" spans="1:6" ht="18" x14ac:dyDescent="0.25">
      <c r="A150" s="298"/>
      <c r="B150" s="304" t="s">
        <v>15</v>
      </c>
      <c r="C150" s="300"/>
      <c r="D150" s="301"/>
      <c r="E150" s="797">
        <f>SUM(F119:F146)</f>
        <v>0</v>
      </c>
      <c r="F150" s="798"/>
    </row>
    <row r="151" spans="1:6" ht="13.8" x14ac:dyDescent="0.3">
      <c r="A151" s="323"/>
      <c r="B151" s="324"/>
      <c r="C151" s="325"/>
      <c r="D151" s="325"/>
      <c r="E151" s="326"/>
      <c r="F151" s="327"/>
    </row>
    <row r="152" spans="1:6" ht="13.8" x14ac:dyDescent="0.3">
      <c r="A152" s="260" t="s">
        <v>13</v>
      </c>
      <c r="B152" s="261" t="s">
        <v>1112</v>
      </c>
      <c r="C152" s="262"/>
      <c r="D152" s="262"/>
      <c r="E152" s="263"/>
      <c r="F152" s="264"/>
    </row>
    <row r="153" spans="1:6" ht="13.8" x14ac:dyDescent="0.3">
      <c r="A153" s="314"/>
      <c r="B153" s="283"/>
      <c r="C153" s="250"/>
      <c r="D153" s="250"/>
      <c r="E153" s="251"/>
      <c r="F153" s="315"/>
    </row>
    <row r="154" spans="1:6" ht="13.8" x14ac:dyDescent="0.25">
      <c r="A154" s="266" t="s">
        <v>1113</v>
      </c>
      <c r="B154" s="328"/>
      <c r="C154" s="328"/>
      <c r="D154" s="328"/>
      <c r="E154" s="328"/>
      <c r="F154" s="328"/>
    </row>
    <row r="155" spans="1:6" ht="55.2" x14ac:dyDescent="0.3">
      <c r="A155" s="329"/>
      <c r="B155" s="248" t="s">
        <v>1114</v>
      </c>
      <c r="C155" s="266"/>
      <c r="D155" s="266"/>
      <c r="E155" s="320"/>
      <c r="F155" s="320"/>
    </row>
    <row r="156" spans="1:6" ht="13.8" x14ac:dyDescent="0.3">
      <c r="A156" s="330"/>
      <c r="B156" s="248"/>
      <c r="C156" s="300" t="s">
        <v>1053</v>
      </c>
      <c r="D156" s="300">
        <v>1</v>
      </c>
      <c r="E156" s="272"/>
      <c r="F156" s="273">
        <f>D156*E156</f>
        <v>0</v>
      </c>
    </row>
    <row r="157" spans="1:6" ht="41.4" x14ac:dyDescent="0.3">
      <c r="A157" s="330"/>
      <c r="B157" s="258" t="s">
        <v>1115</v>
      </c>
      <c r="C157" s="300"/>
      <c r="D157" s="300"/>
      <c r="E157" s="331"/>
      <c r="F157" s="331"/>
    </row>
    <row r="158" spans="1:6" ht="13.8" x14ac:dyDescent="0.25">
      <c r="A158" s="332" t="s">
        <v>1116</v>
      </c>
      <c r="B158" s="333"/>
      <c r="C158" s="300"/>
      <c r="D158" s="300"/>
      <c r="E158" s="334"/>
      <c r="F158" s="334"/>
    </row>
    <row r="159" spans="1:6" ht="13.8" x14ac:dyDescent="0.3">
      <c r="A159" s="335"/>
      <c r="B159" s="333" t="s">
        <v>1117</v>
      </c>
      <c r="C159" s="336"/>
      <c r="D159" s="336"/>
      <c r="E159" s="337"/>
      <c r="F159" s="338"/>
    </row>
    <row r="160" spans="1:6" ht="13.8" x14ac:dyDescent="0.3">
      <c r="A160" s="335"/>
      <c r="B160" s="333"/>
      <c r="C160" s="300" t="s">
        <v>1053</v>
      </c>
      <c r="D160" s="300">
        <v>1</v>
      </c>
      <c r="E160" s="272"/>
      <c r="F160" s="273">
        <f>D160*E160</f>
        <v>0</v>
      </c>
    </row>
    <row r="161" spans="1:6" ht="13.8" x14ac:dyDescent="0.25">
      <c r="A161" s="335"/>
      <c r="B161" s="333"/>
      <c r="C161" s="300"/>
      <c r="D161" s="300"/>
      <c r="E161" s="334"/>
      <c r="F161" s="334"/>
    </row>
    <row r="162" spans="1:6" ht="13.8" x14ac:dyDescent="0.25">
      <c r="A162" s="332" t="s">
        <v>1118</v>
      </c>
      <c r="B162" s="333"/>
      <c r="C162" s="300"/>
      <c r="D162" s="300"/>
      <c r="E162" s="334"/>
      <c r="F162" s="334"/>
    </row>
    <row r="163" spans="1:6" ht="27.6" x14ac:dyDescent="0.25">
      <c r="A163" s="335"/>
      <c r="B163" s="333" t="s">
        <v>1119</v>
      </c>
      <c r="C163" s="300"/>
      <c r="D163" s="300"/>
      <c r="E163" s="334"/>
      <c r="F163" s="334"/>
    </row>
    <row r="164" spans="1:6" ht="13.8" x14ac:dyDescent="0.3">
      <c r="A164" s="335"/>
      <c r="B164" s="333"/>
      <c r="C164" s="300" t="s">
        <v>1053</v>
      </c>
      <c r="D164" s="300">
        <v>1</v>
      </c>
      <c r="E164" s="272"/>
      <c r="F164" s="273">
        <f>D164*E164</f>
        <v>0</v>
      </c>
    </row>
    <row r="165" spans="1:6" ht="13.8" x14ac:dyDescent="0.25">
      <c r="A165" s="335"/>
      <c r="B165" s="333"/>
      <c r="C165" s="300"/>
      <c r="D165" s="300"/>
      <c r="E165" s="334"/>
      <c r="F165" s="334"/>
    </row>
    <row r="166" spans="1:6" ht="13.8" x14ac:dyDescent="0.25">
      <c r="A166" s="335"/>
      <c r="B166" s="333"/>
      <c r="C166" s="300"/>
      <c r="D166" s="300"/>
      <c r="E166" s="334"/>
      <c r="F166" s="334"/>
    </row>
    <row r="167" spans="1:6" ht="13.8" x14ac:dyDescent="0.3">
      <c r="A167" s="332" t="s">
        <v>1120</v>
      </c>
      <c r="B167" s="283"/>
      <c r="C167" s="266"/>
      <c r="D167" s="266"/>
      <c r="E167" s="331"/>
      <c r="F167" s="331"/>
    </row>
    <row r="168" spans="1:6" ht="27.6" x14ac:dyDescent="0.3">
      <c r="A168" s="339"/>
      <c r="B168" s="283" t="s">
        <v>1121</v>
      </c>
      <c r="C168" s="266"/>
      <c r="D168" s="266"/>
      <c r="E168" s="331"/>
      <c r="F168" s="331"/>
    </row>
    <row r="169" spans="1:6" ht="13.8" x14ac:dyDescent="0.3">
      <c r="A169" s="339"/>
      <c r="B169" s="340"/>
      <c r="C169" s="266" t="s">
        <v>1053</v>
      </c>
      <c r="D169" s="266">
        <v>1</v>
      </c>
      <c r="E169" s="272"/>
      <c r="F169" s="273">
        <f>D169*E169</f>
        <v>0</v>
      </c>
    </row>
    <row r="170" spans="1:6" ht="13.8" x14ac:dyDescent="0.3">
      <c r="A170" s="339"/>
      <c r="B170" s="340"/>
      <c r="C170" s="266"/>
      <c r="D170" s="266"/>
      <c r="E170" s="331"/>
      <c r="F170" s="338"/>
    </row>
    <row r="171" spans="1:6" ht="13.8" x14ac:dyDescent="0.3">
      <c r="A171" s="332" t="s">
        <v>1122</v>
      </c>
      <c r="B171" s="283"/>
      <c r="C171" s="266"/>
      <c r="D171" s="314"/>
      <c r="E171" s="341"/>
      <c r="F171" s="341"/>
    </row>
    <row r="172" spans="1:6" ht="27.6" x14ac:dyDescent="0.3">
      <c r="A172" s="339"/>
      <c r="B172" s="283" t="s">
        <v>1123</v>
      </c>
      <c r="C172" s="266"/>
      <c r="D172" s="314"/>
      <c r="E172" s="341"/>
      <c r="F172" s="341"/>
    </row>
    <row r="173" spans="1:6" ht="13.8" x14ac:dyDescent="0.3">
      <c r="A173" s="330"/>
      <c r="B173" s="248"/>
      <c r="C173" s="186" t="s">
        <v>1053</v>
      </c>
      <c r="D173" s="186">
        <v>1</v>
      </c>
      <c r="E173" s="272"/>
      <c r="F173" s="273">
        <f>D173*E173</f>
        <v>0</v>
      </c>
    </row>
    <row r="174" spans="1:6" ht="13.8" x14ac:dyDescent="0.3">
      <c r="A174" s="330"/>
      <c r="B174" s="248"/>
      <c r="C174" s="186"/>
      <c r="D174" s="186"/>
      <c r="E174" s="331"/>
      <c r="F174" s="331"/>
    </row>
    <row r="175" spans="1:6" ht="13.8" x14ac:dyDescent="0.25">
      <c r="A175" s="332" t="s">
        <v>1124</v>
      </c>
      <c r="B175" s="342"/>
      <c r="C175" s="343"/>
      <c r="D175" s="343"/>
      <c r="E175" s="320"/>
      <c r="F175" s="320"/>
    </row>
    <row r="176" spans="1:6" ht="69" x14ac:dyDescent="0.3">
      <c r="A176" s="343"/>
      <c r="B176" s="274" t="s">
        <v>1125</v>
      </c>
      <c r="C176" s="329"/>
      <c r="D176" s="344"/>
      <c r="E176" s="320"/>
      <c r="F176" s="320"/>
    </row>
    <row r="177" spans="1:6" ht="13.8" x14ac:dyDescent="0.3">
      <c r="A177" s="343"/>
      <c r="B177" s="274"/>
      <c r="C177" s="329"/>
      <c r="D177" s="344"/>
      <c r="E177" s="320"/>
      <c r="F177" s="320"/>
    </row>
    <row r="178" spans="1:6" ht="13.8" x14ac:dyDescent="0.3">
      <c r="A178" s="343"/>
      <c r="B178" s="274"/>
      <c r="C178" s="344" t="s">
        <v>1053</v>
      </c>
      <c r="D178" s="344">
        <v>1</v>
      </c>
      <c r="E178" s="272"/>
      <c r="F178" s="273">
        <f>D178*E178</f>
        <v>0</v>
      </c>
    </row>
    <row r="179" spans="1:6" ht="13.8" x14ac:dyDescent="0.3">
      <c r="A179" s="330"/>
      <c r="B179" s="248"/>
      <c r="C179" s="186"/>
      <c r="D179" s="186"/>
      <c r="E179" s="331"/>
      <c r="F179" s="331"/>
    </row>
    <row r="180" spans="1:6" ht="13.8" x14ac:dyDescent="0.3">
      <c r="A180" s="332" t="s">
        <v>1126</v>
      </c>
      <c r="B180" s="248"/>
      <c r="C180" s="186"/>
      <c r="D180" s="186"/>
      <c r="E180" s="331"/>
      <c r="F180" s="331"/>
    </row>
    <row r="181" spans="1:6" ht="55.2" x14ac:dyDescent="0.3">
      <c r="A181" s="330"/>
      <c r="B181" s="248" t="s">
        <v>1127</v>
      </c>
      <c r="C181" s="249"/>
      <c r="D181" s="249"/>
      <c r="E181" s="320"/>
      <c r="F181" s="320"/>
    </row>
    <row r="182" spans="1:6" ht="13.8" x14ac:dyDescent="0.3">
      <c r="A182" s="266"/>
      <c r="B182" s="248"/>
      <c r="C182" s="249" t="s">
        <v>1053</v>
      </c>
      <c r="D182" s="249">
        <v>1</v>
      </c>
      <c r="E182" s="272"/>
      <c r="F182" s="273">
        <f>D182*E182</f>
        <v>0</v>
      </c>
    </row>
    <row r="183" spans="1:6" ht="55.2" x14ac:dyDescent="0.3">
      <c r="A183" s="266"/>
      <c r="B183" s="258" t="s">
        <v>1128</v>
      </c>
      <c r="C183" s="249"/>
      <c r="D183" s="249"/>
      <c r="E183" s="320"/>
      <c r="F183" s="320"/>
    </row>
    <row r="184" spans="1:6" ht="13.8" x14ac:dyDescent="0.3">
      <c r="A184" s="266"/>
      <c r="B184" s="248"/>
      <c r="C184" s="249"/>
      <c r="D184" s="249"/>
      <c r="E184" s="331"/>
      <c r="F184" s="331"/>
    </row>
    <row r="185" spans="1:6" ht="13.8" x14ac:dyDescent="0.3">
      <c r="A185" s="332" t="s">
        <v>1129</v>
      </c>
      <c r="B185" s="324"/>
      <c r="C185" s="345"/>
      <c r="D185" s="345"/>
      <c r="E185" s="327"/>
      <c r="F185" s="327"/>
    </row>
    <row r="186" spans="1:6" ht="41.4" x14ac:dyDescent="0.3">
      <c r="A186" s="323"/>
      <c r="B186" s="324" t="s">
        <v>1130</v>
      </c>
      <c r="C186" s="345"/>
      <c r="D186" s="345"/>
      <c r="E186" s="327"/>
      <c r="F186" s="327"/>
    </row>
    <row r="187" spans="1:6" ht="13.8" x14ac:dyDescent="0.3">
      <c r="A187" s="323"/>
      <c r="B187" s="324"/>
      <c r="C187" s="325" t="s">
        <v>1053</v>
      </c>
      <c r="D187" s="325">
        <v>1</v>
      </c>
      <c r="E187" s="272"/>
      <c r="F187" s="273">
        <f>D187*E187</f>
        <v>0</v>
      </c>
    </row>
    <row r="188" spans="1:6" ht="13.8" x14ac:dyDescent="0.3">
      <c r="A188" s="266"/>
      <c r="B188" s="248"/>
      <c r="C188" s="265"/>
      <c r="D188" s="266"/>
      <c r="E188" s="320"/>
      <c r="F188" s="346"/>
    </row>
    <row r="189" spans="1:6" ht="13.8" x14ac:dyDescent="0.3">
      <c r="A189" s="250"/>
      <c r="B189" s="347"/>
      <c r="C189" s="249"/>
      <c r="D189" s="250"/>
      <c r="E189" s="251"/>
      <c r="F189" s="252"/>
    </row>
    <row r="190" spans="1:6" ht="15.6" x14ac:dyDescent="0.3">
      <c r="A190" s="348" t="s">
        <v>13</v>
      </c>
      <c r="B190" s="349" t="s">
        <v>1112</v>
      </c>
      <c r="C190" s="294"/>
      <c r="D190" s="295"/>
      <c r="E190" s="296"/>
      <c r="F190" s="297"/>
    </row>
    <row r="191" spans="1:6" ht="15.6" x14ac:dyDescent="0.3">
      <c r="A191" s="298"/>
      <c r="B191" s="350"/>
      <c r="C191" s="300"/>
      <c r="D191" s="301"/>
      <c r="E191" s="302"/>
      <c r="F191" s="303"/>
    </row>
    <row r="192" spans="1:6" ht="18" x14ac:dyDescent="0.25">
      <c r="A192" s="298"/>
      <c r="B192" s="304" t="s">
        <v>1132</v>
      </c>
      <c r="C192" s="300"/>
      <c r="D192" s="301"/>
      <c r="E192" s="799">
        <f>SUM(F155:F188)</f>
        <v>0</v>
      </c>
      <c r="F192" s="800"/>
    </row>
    <row r="193" spans="1:7" ht="18" x14ac:dyDescent="0.25">
      <c r="A193" s="305"/>
      <c r="B193" s="351"/>
      <c r="C193" s="307"/>
      <c r="D193" s="308"/>
      <c r="E193" s="352"/>
      <c r="F193" s="353"/>
    </row>
    <row r="196" spans="1:7" ht="31.2" x14ac:dyDescent="0.3">
      <c r="A196" s="354" t="s">
        <v>1133</v>
      </c>
      <c r="B196" s="254" t="s">
        <v>1134</v>
      </c>
      <c r="C196" s="255"/>
      <c r="D196" s="255"/>
      <c r="E196" s="257"/>
      <c r="F196" s="355"/>
    </row>
    <row r="197" spans="1:7" ht="13.8" x14ac:dyDescent="0.3">
      <c r="A197" s="247"/>
      <c r="B197" s="258"/>
      <c r="C197" s="250"/>
      <c r="D197" s="250"/>
      <c r="E197" s="315"/>
      <c r="F197" s="315"/>
    </row>
    <row r="198" spans="1:7" ht="27.6" x14ac:dyDescent="0.25">
      <c r="A198" s="311" t="s">
        <v>1135</v>
      </c>
      <c r="B198" s="782" t="s">
        <v>1136</v>
      </c>
      <c r="C198" s="782"/>
      <c r="D198" s="782"/>
      <c r="E198" s="782"/>
      <c r="F198" s="782"/>
    </row>
    <row r="199" spans="1:7" ht="13.8" x14ac:dyDescent="0.3">
      <c r="A199" s="220"/>
      <c r="B199" s="794" t="s">
        <v>1046</v>
      </c>
      <c r="C199" s="794"/>
      <c r="D199" s="794"/>
      <c r="E199" s="794"/>
      <c r="F199" s="794"/>
    </row>
    <row r="200" spans="1:7" ht="13.8" x14ac:dyDescent="0.3">
      <c r="A200" s="220"/>
      <c r="B200" s="794" t="s">
        <v>1047</v>
      </c>
      <c r="C200" s="794"/>
      <c r="D200" s="794"/>
      <c r="E200" s="794"/>
      <c r="F200" s="794"/>
    </row>
    <row r="201" spans="1:7" ht="13.8" x14ac:dyDescent="0.3">
      <c r="A201" s="265"/>
      <c r="B201" s="248"/>
      <c r="C201" s="249"/>
      <c r="D201" s="249"/>
      <c r="E201" s="356"/>
      <c r="F201" s="357"/>
    </row>
    <row r="202" spans="1:7" ht="13.8" x14ac:dyDescent="0.3">
      <c r="A202" s="358" t="s">
        <v>16</v>
      </c>
      <c r="B202" s="359" t="s">
        <v>1137</v>
      </c>
      <c r="C202" s="360"/>
      <c r="D202" s="360"/>
      <c r="E202" s="361"/>
      <c r="F202" s="362"/>
    </row>
    <row r="203" spans="1:7" ht="12" customHeight="1" x14ac:dyDescent="0.3">
      <c r="A203" s="363"/>
      <c r="B203" s="274"/>
      <c r="C203" s="344"/>
      <c r="D203" s="344"/>
      <c r="E203" s="357"/>
      <c r="F203" s="357"/>
    </row>
    <row r="204" spans="1:7" ht="14.4" customHeight="1" x14ac:dyDescent="0.3">
      <c r="A204" s="364" t="s">
        <v>1138</v>
      </c>
      <c r="B204" s="365"/>
      <c r="C204" s="366"/>
      <c r="D204" s="366"/>
      <c r="E204" s="328"/>
      <c r="F204" s="328"/>
    </row>
    <row r="205" spans="1:7" ht="409.6" x14ac:dyDescent="0.3">
      <c r="A205" s="367"/>
      <c r="B205" s="705" t="s">
        <v>1802</v>
      </c>
      <c r="C205" s="368"/>
      <c r="D205" s="369"/>
      <c r="E205" s="370"/>
      <c r="F205" s="370"/>
      <c r="G205" s="693"/>
    </row>
    <row r="206" spans="1:7" ht="13.8" x14ac:dyDescent="0.3">
      <c r="A206" s="371"/>
      <c r="B206" s="274"/>
      <c r="C206" s="372" t="s">
        <v>86</v>
      </c>
      <c r="D206" s="373">
        <v>1</v>
      </c>
      <c r="E206" s="374"/>
      <c r="F206" s="374">
        <f>D206*E206</f>
        <v>0</v>
      </c>
    </row>
    <row r="207" spans="1:7" ht="13.8" x14ac:dyDescent="0.3">
      <c r="A207" s="371"/>
      <c r="B207" s="274"/>
      <c r="C207" s="372"/>
      <c r="D207" s="373"/>
      <c r="E207" s="374"/>
      <c r="F207" s="374"/>
    </row>
    <row r="208" spans="1:7" ht="13.8" x14ac:dyDescent="0.3">
      <c r="A208" s="364" t="s">
        <v>1139</v>
      </c>
      <c r="B208" s="274"/>
      <c r="C208" s="372"/>
      <c r="D208" s="373"/>
      <c r="E208" s="374"/>
      <c r="F208" s="374"/>
    </row>
    <row r="209" spans="1:6" ht="142.19999999999999" customHeight="1" x14ac:dyDescent="0.3">
      <c r="A209" s="371"/>
      <c r="B209" s="274" t="s">
        <v>1140</v>
      </c>
      <c r="C209" s="372"/>
      <c r="D209" s="373"/>
      <c r="E209" s="374"/>
      <c r="F209" s="374"/>
    </row>
    <row r="210" spans="1:6" ht="13.8" x14ac:dyDescent="0.3">
      <c r="A210" s="371"/>
      <c r="B210" s="274"/>
      <c r="C210" s="372" t="s">
        <v>1053</v>
      </c>
      <c r="D210" s="373">
        <v>1</v>
      </c>
      <c r="E210" s="272"/>
      <c r="F210" s="273">
        <f>D210*E210</f>
        <v>0</v>
      </c>
    </row>
    <row r="211" spans="1:6" ht="13.8" x14ac:dyDescent="0.3">
      <c r="A211" s="371"/>
      <c r="B211" s="274"/>
      <c r="C211" s="372"/>
      <c r="D211" s="373"/>
      <c r="E211" s="272"/>
      <c r="F211" s="273"/>
    </row>
    <row r="212" spans="1:6" ht="13.8" x14ac:dyDescent="0.3">
      <c r="A212" s="371"/>
      <c r="B212" s="274"/>
      <c r="C212" s="372"/>
      <c r="D212" s="373"/>
      <c r="E212" s="272"/>
      <c r="F212" s="273"/>
    </row>
    <row r="213" spans="1:6" ht="13.8" x14ac:dyDescent="0.3">
      <c r="A213" s="371"/>
      <c r="B213" s="274"/>
      <c r="C213" s="372"/>
      <c r="D213" s="373"/>
      <c r="E213" s="374"/>
      <c r="F213" s="374"/>
    </row>
    <row r="214" spans="1:6" ht="15.6" x14ac:dyDescent="0.3">
      <c r="A214" s="375" t="s">
        <v>16</v>
      </c>
      <c r="B214" s="801" t="s">
        <v>1137</v>
      </c>
      <c r="C214" s="801"/>
      <c r="D214" s="376"/>
      <c r="E214" s="377"/>
      <c r="F214" s="378"/>
    </row>
    <row r="215" spans="1:6" ht="15.6" x14ac:dyDescent="0.3">
      <c r="A215" s="379"/>
      <c r="B215" s="380"/>
      <c r="C215" s="381"/>
      <c r="D215" s="381"/>
      <c r="E215" s="382"/>
      <c r="F215" s="383"/>
    </row>
    <row r="216" spans="1:6" ht="31.2" x14ac:dyDescent="0.3">
      <c r="A216" s="379"/>
      <c r="B216" s="380" t="s">
        <v>1141</v>
      </c>
      <c r="C216" s="381"/>
      <c r="D216" s="381"/>
      <c r="E216" s="795">
        <f>SUM(F205:F213)</f>
        <v>0</v>
      </c>
      <c r="F216" s="796"/>
    </row>
    <row r="217" spans="1:6" ht="18" x14ac:dyDescent="0.3">
      <c r="A217" s="384"/>
      <c r="B217" s="385"/>
      <c r="C217" s="386"/>
      <c r="D217" s="386"/>
      <c r="E217" s="387"/>
      <c r="F217" s="388"/>
    </row>
    <row r="218" spans="1:6" ht="13.8" x14ac:dyDescent="0.3">
      <c r="A218" s="364"/>
      <c r="B218" s="365"/>
      <c r="C218" s="366"/>
      <c r="D218" s="366"/>
      <c r="E218" s="328"/>
      <c r="F218" s="328"/>
    </row>
    <row r="219" spans="1:6" ht="13.8" x14ac:dyDescent="0.3">
      <c r="A219" s="364"/>
      <c r="B219" s="365"/>
      <c r="C219" s="366"/>
      <c r="D219" s="366"/>
      <c r="E219" s="328"/>
      <c r="F219" s="328"/>
    </row>
    <row r="220" spans="1:6" ht="13.8" x14ac:dyDescent="0.3">
      <c r="A220" s="358" t="s">
        <v>1142</v>
      </c>
      <c r="B220" s="359" t="s">
        <v>1143</v>
      </c>
      <c r="C220" s="360"/>
      <c r="D220" s="360"/>
      <c r="E220" s="361"/>
      <c r="F220" s="362"/>
    </row>
    <row r="221" spans="1:6" ht="13.8" x14ac:dyDescent="0.3">
      <c r="A221" s="363"/>
      <c r="B221" s="274"/>
      <c r="C221" s="344"/>
      <c r="D221" s="344"/>
      <c r="E221" s="357"/>
      <c r="F221" s="357"/>
    </row>
    <row r="222" spans="1:6" ht="27.6" x14ac:dyDescent="0.25">
      <c r="A222" s="389" t="s">
        <v>1135</v>
      </c>
      <c r="B222" s="802" t="s">
        <v>1144</v>
      </c>
      <c r="C222" s="802"/>
      <c r="D222" s="802"/>
      <c r="E222" s="802"/>
      <c r="F222" s="803"/>
    </row>
    <row r="223" spans="1:6" ht="13.8" x14ac:dyDescent="0.3">
      <c r="A223" s="384"/>
      <c r="B223" s="390"/>
      <c r="C223" s="391"/>
      <c r="D223" s="391"/>
      <c r="E223" s="392"/>
      <c r="F223" s="393"/>
    </row>
    <row r="224" spans="1:6" ht="13.8" x14ac:dyDescent="0.3">
      <c r="A224" s="394" t="s">
        <v>1145</v>
      </c>
      <c r="B224" s="283"/>
      <c r="C224" s="250"/>
      <c r="D224" s="250"/>
      <c r="E224" s="315"/>
      <c r="F224" s="315"/>
    </row>
    <row r="225" spans="1:7" ht="409.6" x14ac:dyDescent="0.3">
      <c r="A225" s="395">
        <v>1</v>
      </c>
      <c r="B225" s="706" t="s">
        <v>1593</v>
      </c>
      <c r="C225" s="397"/>
      <c r="D225" s="398"/>
      <c r="E225" s="270"/>
      <c r="F225" s="270"/>
      <c r="G225" s="804"/>
    </row>
    <row r="226" spans="1:7" ht="315" customHeight="1" x14ac:dyDescent="0.3">
      <c r="A226" s="395"/>
      <c r="B226" s="399" t="s">
        <v>1146</v>
      </c>
      <c r="C226" s="397"/>
      <c r="D226" s="398"/>
      <c r="E226" s="270"/>
      <c r="F226" s="270"/>
      <c r="G226" s="804"/>
    </row>
    <row r="227" spans="1:7" ht="409.2" customHeight="1" x14ac:dyDescent="0.3">
      <c r="A227" s="395"/>
      <c r="B227" s="396" t="s">
        <v>1582</v>
      </c>
      <c r="C227" s="397" t="s">
        <v>1147</v>
      </c>
      <c r="D227" s="398">
        <v>1</v>
      </c>
      <c r="E227" s="272"/>
      <c r="F227" s="273">
        <f>D227*E227</f>
        <v>0</v>
      </c>
      <c r="G227" s="804"/>
    </row>
    <row r="228" spans="1:7" ht="13.8" x14ac:dyDescent="0.3">
      <c r="A228" s="395"/>
      <c r="B228" s="396"/>
      <c r="C228" s="397"/>
      <c r="D228" s="398"/>
      <c r="E228" s="270"/>
      <c r="F228" s="270"/>
    </row>
    <row r="229" spans="1:7" ht="13.8" x14ac:dyDescent="0.3">
      <c r="A229" s="395">
        <v>2</v>
      </c>
      <c r="B229" s="342" t="s">
        <v>1148</v>
      </c>
      <c r="C229" s="400" t="s">
        <v>1053</v>
      </c>
      <c r="D229" s="398">
        <v>1</v>
      </c>
      <c r="E229" s="272"/>
      <c r="F229" s="273">
        <f>D229*E229</f>
        <v>0</v>
      </c>
    </row>
    <row r="230" spans="1:7" ht="13.8" x14ac:dyDescent="0.3">
      <c r="A230" s="395"/>
      <c r="B230" s="342"/>
      <c r="C230" s="400"/>
      <c r="D230" s="398"/>
      <c r="E230" s="270"/>
      <c r="F230" s="270"/>
    </row>
    <row r="231" spans="1:7" ht="27.6" x14ac:dyDescent="0.3">
      <c r="A231" s="395">
        <v>3</v>
      </c>
      <c r="B231" s="342" t="s">
        <v>1149</v>
      </c>
      <c r="C231" s="400" t="s">
        <v>867</v>
      </c>
      <c r="D231" s="398">
        <v>1</v>
      </c>
      <c r="E231" s="272"/>
      <c r="F231" s="273">
        <f>D231*E231</f>
        <v>0</v>
      </c>
    </row>
    <row r="232" spans="1:7" ht="13.8" x14ac:dyDescent="0.3">
      <c r="A232" s="395"/>
      <c r="B232" s="342"/>
      <c r="C232" s="400"/>
      <c r="D232" s="398"/>
      <c r="E232" s="270"/>
      <c r="F232" s="270"/>
    </row>
    <row r="233" spans="1:7" ht="372" customHeight="1" x14ac:dyDescent="0.3">
      <c r="A233" s="395">
        <v>4</v>
      </c>
      <c r="B233" s="707" t="s">
        <v>1594</v>
      </c>
      <c r="C233" s="400" t="s">
        <v>867</v>
      </c>
      <c r="D233" s="398">
        <v>1</v>
      </c>
      <c r="E233" s="272"/>
      <c r="F233" s="273">
        <f>D233*E233</f>
        <v>0</v>
      </c>
      <c r="G233" s="693"/>
    </row>
    <row r="234" spans="1:7" ht="13.8" x14ac:dyDescent="0.3">
      <c r="A234" s="395"/>
      <c r="B234" s="342"/>
      <c r="C234" s="400"/>
      <c r="D234" s="398"/>
      <c r="E234" s="270"/>
      <c r="F234" s="270"/>
    </row>
    <row r="235" spans="1:7" ht="27.6" x14ac:dyDescent="0.3">
      <c r="A235" s="395">
        <v>5</v>
      </c>
      <c r="B235" s="708" t="s">
        <v>1595</v>
      </c>
      <c r="C235" s="400" t="s">
        <v>867</v>
      </c>
      <c r="D235" s="398">
        <v>1</v>
      </c>
      <c r="E235" s="272"/>
      <c r="F235" s="273">
        <f>D235*E235</f>
        <v>0</v>
      </c>
      <c r="G235" s="693"/>
    </row>
    <row r="236" spans="1:7" ht="13.8" x14ac:dyDescent="0.3">
      <c r="A236" s="395"/>
      <c r="B236" s="342"/>
      <c r="C236" s="400"/>
      <c r="D236" s="398"/>
      <c r="E236" s="270"/>
      <c r="F236" s="270"/>
    </row>
    <row r="237" spans="1:7" ht="207" x14ac:dyDescent="0.3">
      <c r="A237" s="395">
        <v>6</v>
      </c>
      <c r="B237" s="342" t="s">
        <v>1150</v>
      </c>
      <c r="C237" s="400" t="s">
        <v>1053</v>
      </c>
      <c r="D237" s="398">
        <v>1</v>
      </c>
      <c r="E237" s="272"/>
      <c r="F237" s="273">
        <f>D237*E237</f>
        <v>0</v>
      </c>
    </row>
    <row r="238" spans="1:7" ht="13.8" x14ac:dyDescent="0.3">
      <c r="A238" s="395"/>
      <c r="B238" s="342"/>
      <c r="C238" s="400"/>
      <c r="D238" s="398"/>
      <c r="E238" s="270"/>
      <c r="F238" s="270"/>
    </row>
    <row r="239" spans="1:7" ht="41.4" x14ac:dyDescent="0.3">
      <c r="A239" s="395">
        <v>7</v>
      </c>
      <c r="B239" s="342" t="s">
        <v>1151</v>
      </c>
      <c r="C239" s="400" t="s">
        <v>867</v>
      </c>
      <c r="D239" s="398">
        <v>1</v>
      </c>
      <c r="E239" s="272"/>
      <c r="F239" s="273">
        <f>D239*E239</f>
        <v>0</v>
      </c>
    </row>
    <row r="240" spans="1:7" ht="13.8" x14ac:dyDescent="0.3">
      <c r="A240" s="395"/>
      <c r="B240" s="342"/>
      <c r="C240" s="400"/>
      <c r="D240" s="398"/>
      <c r="E240" s="270"/>
      <c r="F240" s="270"/>
    </row>
    <row r="241" spans="1:6" ht="34.799999999999997" customHeight="1" x14ac:dyDescent="0.3">
      <c r="A241" s="395">
        <v>8</v>
      </c>
      <c r="B241" s="342" t="s">
        <v>1152</v>
      </c>
      <c r="C241" s="400" t="s">
        <v>867</v>
      </c>
      <c r="D241" s="398">
        <v>1</v>
      </c>
      <c r="E241" s="272"/>
      <c r="F241" s="273">
        <f>D241*E241</f>
        <v>0</v>
      </c>
    </row>
    <row r="242" spans="1:6" ht="13.8" x14ac:dyDescent="0.3">
      <c r="A242" s="395"/>
      <c r="B242" s="342"/>
      <c r="C242" s="400"/>
      <c r="D242" s="398"/>
      <c r="E242" s="270"/>
      <c r="F242" s="270"/>
    </row>
    <row r="243" spans="1:6" ht="41.4" x14ac:dyDescent="0.3">
      <c r="A243" s="395">
        <v>9</v>
      </c>
      <c r="B243" s="342" t="s">
        <v>1153</v>
      </c>
      <c r="C243" s="400" t="s">
        <v>867</v>
      </c>
      <c r="D243" s="398">
        <v>9</v>
      </c>
      <c r="E243" s="272"/>
      <c r="F243" s="273">
        <f>D243*E243</f>
        <v>0</v>
      </c>
    </row>
    <row r="244" spans="1:6" ht="13.8" x14ac:dyDescent="0.3">
      <c r="A244" s="395"/>
      <c r="B244" s="342"/>
      <c r="C244" s="400"/>
      <c r="D244" s="398"/>
      <c r="E244" s="270"/>
      <c r="F244" s="270"/>
    </row>
    <row r="245" spans="1:6" ht="27.6" x14ac:dyDescent="0.3">
      <c r="A245" s="395">
        <v>10</v>
      </c>
      <c r="B245" s="342" t="s">
        <v>1154</v>
      </c>
      <c r="C245" s="400" t="s">
        <v>867</v>
      </c>
      <c r="D245" s="398">
        <v>1</v>
      </c>
      <c r="E245" s="272"/>
      <c r="F245" s="273">
        <f>D245*E245</f>
        <v>0</v>
      </c>
    </row>
    <row r="246" spans="1:6" ht="13.8" x14ac:dyDescent="0.3">
      <c r="A246" s="395"/>
      <c r="B246" s="342"/>
      <c r="C246" s="400"/>
      <c r="D246" s="398"/>
      <c r="E246" s="270"/>
      <c r="F246" s="270"/>
    </row>
    <row r="247" spans="1:6" ht="13.8" x14ac:dyDescent="0.3">
      <c r="A247" s="395">
        <v>11</v>
      </c>
      <c r="B247" s="342" t="s">
        <v>1155</v>
      </c>
      <c r="C247" s="400" t="s">
        <v>867</v>
      </c>
      <c r="D247" s="398">
        <v>6</v>
      </c>
      <c r="E247" s="272"/>
      <c r="F247" s="273">
        <f>D247*E247</f>
        <v>0</v>
      </c>
    </row>
    <row r="248" spans="1:6" ht="13.8" x14ac:dyDescent="0.3">
      <c r="A248" s="401"/>
      <c r="B248" s="402"/>
      <c r="C248" s="403"/>
      <c r="D248" s="398"/>
      <c r="E248" s="404"/>
      <c r="F248" s="404"/>
    </row>
    <row r="249" spans="1:6" ht="13.8" x14ac:dyDescent="0.3">
      <c r="A249" s="401"/>
      <c r="B249" s="402"/>
      <c r="C249" s="403"/>
      <c r="D249" s="398"/>
      <c r="E249" s="404"/>
      <c r="F249" s="404"/>
    </row>
    <row r="250" spans="1:6" ht="13.8" x14ac:dyDescent="0.3">
      <c r="A250" s="364" t="s">
        <v>1156</v>
      </c>
      <c r="B250" s="365"/>
      <c r="C250" s="366"/>
      <c r="D250" s="366"/>
      <c r="E250" s="328"/>
      <c r="F250" s="328"/>
    </row>
    <row r="251" spans="1:6" ht="99" customHeight="1" x14ac:dyDescent="0.3">
      <c r="A251" s="265"/>
      <c r="B251" s="283" t="s">
        <v>1157</v>
      </c>
      <c r="C251" s="250"/>
      <c r="D251" s="250"/>
      <c r="E251" s="320"/>
      <c r="F251" s="320"/>
    </row>
    <row r="252" spans="1:6" ht="45.6" customHeight="1" x14ac:dyDescent="0.3">
      <c r="A252" s="265"/>
      <c r="B252" s="274" t="s">
        <v>1158</v>
      </c>
      <c r="C252" s="186"/>
      <c r="D252" s="186"/>
      <c r="E252" s="405"/>
      <c r="F252" s="337"/>
    </row>
    <row r="253" spans="1:6" ht="27.6" x14ac:dyDescent="0.3">
      <c r="A253" s="265"/>
      <c r="B253" s="274" t="s">
        <v>1159</v>
      </c>
      <c r="C253" s="186"/>
      <c r="D253" s="186"/>
      <c r="E253" s="405"/>
      <c r="F253" s="337"/>
    </row>
    <row r="254" spans="1:6" ht="13.8" x14ac:dyDescent="0.3">
      <c r="A254" s="265"/>
      <c r="B254" s="274" t="s">
        <v>1160</v>
      </c>
      <c r="C254" s="186"/>
      <c r="D254" s="186"/>
      <c r="E254" s="405"/>
      <c r="F254" s="337"/>
    </row>
    <row r="255" spans="1:6" ht="13.8" x14ac:dyDescent="0.3">
      <c r="A255" s="265"/>
      <c r="B255" s="274"/>
      <c r="C255" s="249" t="s">
        <v>1053</v>
      </c>
      <c r="D255" s="291">
        <v>1</v>
      </c>
      <c r="E255" s="272"/>
      <c r="F255" s="273">
        <f>D255*E255</f>
        <v>0</v>
      </c>
    </row>
    <row r="256" spans="1:6" ht="13.8" x14ac:dyDescent="0.3">
      <c r="A256" s="265"/>
      <c r="B256" s="274"/>
      <c r="C256" s="249"/>
      <c r="D256" s="291"/>
      <c r="E256" s="405"/>
      <c r="F256" s="337"/>
    </row>
    <row r="257" spans="1:6" ht="13.8" x14ac:dyDescent="0.3">
      <c r="A257" s="364" t="s">
        <v>1161</v>
      </c>
      <c r="B257" s="365"/>
      <c r="C257" s="366"/>
      <c r="D257" s="366"/>
      <c r="E257" s="328"/>
      <c r="F257" s="328"/>
    </row>
    <row r="258" spans="1:6" ht="41.4" x14ac:dyDescent="0.3">
      <c r="A258" s="265"/>
      <c r="B258" s="406" t="s">
        <v>1162</v>
      </c>
      <c r="C258" s="250"/>
      <c r="D258" s="407"/>
      <c r="E258" s="302"/>
      <c r="F258" s="337"/>
    </row>
    <row r="259" spans="1:6" ht="156" customHeight="1" x14ac:dyDescent="0.3">
      <c r="A259" s="265"/>
      <c r="B259" s="408" t="s">
        <v>1803</v>
      </c>
      <c r="C259" s="186"/>
      <c r="D259" s="186"/>
      <c r="E259" s="302"/>
      <c r="F259" s="337"/>
    </row>
    <row r="260" spans="1:6" ht="13.8" x14ac:dyDescent="0.3">
      <c r="A260" s="364"/>
      <c r="B260" s="365"/>
      <c r="C260" s="381" t="s">
        <v>867</v>
      </c>
      <c r="D260" s="381">
        <v>1</v>
      </c>
      <c r="E260" s="272"/>
      <c r="F260" s="273">
        <f>D260*E260</f>
        <v>0</v>
      </c>
    </row>
    <row r="261" spans="1:6" ht="13.8" x14ac:dyDescent="0.3">
      <c r="A261" s="364"/>
      <c r="B261" s="365"/>
      <c r="C261" s="381"/>
      <c r="D261" s="381"/>
      <c r="E261" s="328"/>
      <c r="F261" s="328"/>
    </row>
    <row r="262" spans="1:6" ht="13.8" x14ac:dyDescent="0.3">
      <c r="A262" s="364" t="s">
        <v>1163</v>
      </c>
      <c r="B262" s="365"/>
      <c r="C262" s="366"/>
      <c r="D262" s="366"/>
      <c r="E262" s="328"/>
      <c r="F262" s="328"/>
    </row>
    <row r="263" spans="1:6" ht="102.6" customHeight="1" x14ac:dyDescent="0.3">
      <c r="A263" s="364"/>
      <c r="B263" s="409" t="s">
        <v>1804</v>
      </c>
      <c r="C263" s="366"/>
      <c r="D263" s="366"/>
      <c r="E263" s="328"/>
      <c r="F263" s="328"/>
    </row>
    <row r="264" spans="1:6" ht="69" x14ac:dyDescent="0.3">
      <c r="A264" s="364"/>
      <c r="B264" s="409" t="s">
        <v>1774</v>
      </c>
      <c r="C264" s="366"/>
      <c r="D264" s="366"/>
      <c r="E264" s="328"/>
      <c r="F264" s="328"/>
    </row>
    <row r="265" spans="1:6" ht="13.8" x14ac:dyDescent="0.3">
      <c r="A265" s="364"/>
      <c r="B265" s="409"/>
      <c r="C265" s="366"/>
      <c r="D265" s="366"/>
      <c r="E265" s="328"/>
      <c r="F265" s="328"/>
    </row>
    <row r="266" spans="1:6" ht="41.4" x14ac:dyDescent="0.3">
      <c r="A266" s="364"/>
      <c r="B266" s="409" t="s">
        <v>1164</v>
      </c>
      <c r="C266" s="186"/>
      <c r="D266" s="186"/>
      <c r="E266" s="328"/>
      <c r="F266" s="328"/>
    </row>
    <row r="267" spans="1:6" ht="41.4" x14ac:dyDescent="0.3">
      <c r="A267" s="364"/>
      <c r="B267" s="409" t="s">
        <v>1165</v>
      </c>
      <c r="C267" s="381"/>
      <c r="D267" s="381"/>
      <c r="E267" s="328"/>
      <c r="F267" s="328"/>
    </row>
    <row r="268" spans="1:6" ht="13.8" x14ac:dyDescent="0.3">
      <c r="A268" s="364"/>
      <c r="B268" s="409"/>
      <c r="C268" s="381" t="s">
        <v>1053</v>
      </c>
      <c r="D268" s="381">
        <v>1</v>
      </c>
      <c r="E268" s="272"/>
      <c r="F268" s="273">
        <f>D268*E268</f>
        <v>0</v>
      </c>
    </row>
    <row r="269" spans="1:6" ht="13.8" x14ac:dyDescent="0.3">
      <c r="A269" s="364"/>
      <c r="B269" s="409"/>
      <c r="C269" s="381"/>
      <c r="D269" s="381"/>
      <c r="E269" s="272"/>
      <c r="F269" s="273"/>
    </row>
    <row r="270" spans="1:6" ht="13.8" x14ac:dyDescent="0.3">
      <c r="A270" s="410" t="s">
        <v>1166</v>
      </c>
      <c r="B270" s="365"/>
      <c r="C270" s="381"/>
      <c r="D270" s="381"/>
      <c r="E270" s="328"/>
      <c r="F270" s="328"/>
    </row>
    <row r="271" spans="1:6" ht="69" x14ac:dyDescent="0.3">
      <c r="A271" s="364"/>
      <c r="B271" s="411" t="s">
        <v>1167</v>
      </c>
      <c r="C271" s="366"/>
      <c r="D271" s="366"/>
      <c r="E271" s="328"/>
      <c r="F271" s="328"/>
    </row>
    <row r="272" spans="1:6" ht="13.8" x14ac:dyDescent="0.3">
      <c r="A272" s="364"/>
      <c r="B272" s="411"/>
      <c r="C272" s="186"/>
      <c r="D272" s="186"/>
      <c r="E272" s="328"/>
      <c r="F272" s="328"/>
    </row>
    <row r="273" spans="1:6" ht="13.8" x14ac:dyDescent="0.3">
      <c r="A273" s="364"/>
      <c r="B273" s="411" t="s">
        <v>1168</v>
      </c>
      <c r="C273" s="381" t="s">
        <v>867</v>
      </c>
      <c r="D273" s="381">
        <v>1</v>
      </c>
      <c r="E273" s="272"/>
      <c r="F273" s="273">
        <f>D273*E273</f>
        <v>0</v>
      </c>
    </row>
    <row r="274" spans="1:6" ht="13.8" x14ac:dyDescent="0.3">
      <c r="A274" s="364"/>
      <c r="B274" s="411" t="s">
        <v>1169</v>
      </c>
      <c r="C274" s="381" t="s">
        <v>867</v>
      </c>
      <c r="D274" s="381">
        <v>4</v>
      </c>
      <c r="E274" s="272"/>
      <c r="F274" s="273">
        <f>D274*E274</f>
        <v>0</v>
      </c>
    </row>
    <row r="275" spans="1:6" ht="13.8" x14ac:dyDescent="0.3">
      <c r="A275" s="364"/>
      <c r="B275" s="411" t="s">
        <v>1170</v>
      </c>
      <c r="C275" s="381" t="s">
        <v>867</v>
      </c>
      <c r="D275" s="381">
        <v>4</v>
      </c>
      <c r="E275" s="272"/>
      <c r="F275" s="273">
        <f>D275*E275</f>
        <v>0</v>
      </c>
    </row>
    <row r="276" spans="1:6" ht="13.8" x14ac:dyDescent="0.3">
      <c r="A276" s="364"/>
      <c r="B276" s="411" t="s">
        <v>1171</v>
      </c>
      <c r="C276" s="381" t="s">
        <v>867</v>
      </c>
      <c r="D276" s="381">
        <v>4</v>
      </c>
      <c r="E276" s="272"/>
      <c r="F276" s="273">
        <f>D276*E276</f>
        <v>0</v>
      </c>
    </row>
    <row r="277" spans="1:6" ht="13.8" x14ac:dyDescent="0.3">
      <c r="A277" s="364"/>
      <c r="B277" s="411" t="s">
        <v>1172</v>
      </c>
      <c r="C277" s="381" t="s">
        <v>867</v>
      </c>
      <c r="D277" s="381">
        <v>12</v>
      </c>
      <c r="E277" s="272"/>
      <c r="F277" s="273">
        <f>D277*E277</f>
        <v>0</v>
      </c>
    </row>
    <row r="278" spans="1:6" ht="13.8" x14ac:dyDescent="0.3">
      <c r="A278" s="364"/>
      <c r="B278" s="411"/>
      <c r="C278" s="381"/>
      <c r="D278" s="381"/>
      <c r="E278" s="328"/>
      <c r="F278" s="328"/>
    </row>
    <row r="279" spans="1:6" ht="13.8" x14ac:dyDescent="0.3">
      <c r="A279" s="364" t="s">
        <v>1173</v>
      </c>
      <c r="B279" s="411"/>
      <c r="C279" s="381"/>
      <c r="D279" s="381"/>
      <c r="E279" s="328"/>
      <c r="F279" s="328"/>
    </row>
    <row r="280" spans="1:6" ht="27.6" x14ac:dyDescent="0.3">
      <c r="A280" s="220"/>
      <c r="B280" s="411" t="s">
        <v>1174</v>
      </c>
      <c r="C280" s="250"/>
      <c r="D280" s="250"/>
      <c r="E280" s="412"/>
      <c r="F280" s="320"/>
    </row>
    <row r="281" spans="1:6" ht="13.8" x14ac:dyDescent="0.3">
      <c r="A281" s="265"/>
      <c r="B281" s="283"/>
      <c r="C281" s="250"/>
      <c r="D281" s="250"/>
      <c r="E281" s="412"/>
      <c r="F281" s="320"/>
    </row>
    <row r="282" spans="1:6" ht="13.8" x14ac:dyDescent="0.3">
      <c r="A282" s="265"/>
      <c r="B282" s="283" t="s">
        <v>1169</v>
      </c>
      <c r="C282" s="250" t="s">
        <v>867</v>
      </c>
      <c r="D282" s="250">
        <v>1</v>
      </c>
      <c r="E282" s="272"/>
      <c r="F282" s="273">
        <f>D282*E282</f>
        <v>0</v>
      </c>
    </row>
    <row r="283" spans="1:6" ht="13.8" x14ac:dyDescent="0.3">
      <c r="A283" s="265"/>
      <c r="B283" s="283" t="s">
        <v>1170</v>
      </c>
      <c r="C283" s="250" t="s">
        <v>867</v>
      </c>
      <c r="D283" s="250">
        <v>1</v>
      </c>
      <c r="E283" s="272"/>
      <c r="F283" s="273">
        <f>D283*E283</f>
        <v>0</v>
      </c>
    </row>
    <row r="284" spans="1:6" ht="13.8" x14ac:dyDescent="0.3">
      <c r="A284" s="265"/>
      <c r="B284" s="411" t="s">
        <v>1171</v>
      </c>
      <c r="C284" s="250" t="s">
        <v>867</v>
      </c>
      <c r="D284" s="250">
        <v>1</v>
      </c>
      <c r="E284" s="272"/>
      <c r="F284" s="273">
        <f>D284*E284</f>
        <v>0</v>
      </c>
    </row>
    <row r="285" spans="1:6" ht="13.8" x14ac:dyDescent="0.3">
      <c r="A285" s="364"/>
      <c r="B285" s="411" t="s">
        <v>1172</v>
      </c>
      <c r="C285" s="381" t="s">
        <v>867</v>
      </c>
      <c r="D285" s="381">
        <v>2</v>
      </c>
      <c r="E285" s="272"/>
      <c r="F285" s="273">
        <f>D285*E285</f>
        <v>0</v>
      </c>
    </row>
    <row r="286" spans="1:6" ht="13.8" x14ac:dyDescent="0.3">
      <c r="A286" s="364"/>
      <c r="B286" s="411"/>
      <c r="C286" s="381"/>
      <c r="D286" s="381"/>
      <c r="E286" s="328"/>
      <c r="F286" s="328"/>
    </row>
    <row r="287" spans="1:6" ht="13.8" x14ac:dyDescent="0.3">
      <c r="A287" s="364" t="s">
        <v>1175</v>
      </c>
      <c r="B287" s="365"/>
      <c r="C287" s="381"/>
      <c r="D287" s="381"/>
      <c r="E287" s="328"/>
      <c r="F287" s="328"/>
    </row>
    <row r="288" spans="1:6" ht="69" x14ac:dyDescent="0.3">
      <c r="A288" s="364"/>
      <c r="B288" s="411" t="s">
        <v>1176</v>
      </c>
      <c r="C288" s="366"/>
      <c r="D288" s="366"/>
      <c r="E288" s="328"/>
      <c r="F288" s="328"/>
    </row>
    <row r="289" spans="1:7" ht="13.8" x14ac:dyDescent="0.3">
      <c r="A289" s="364"/>
      <c r="B289" s="411"/>
      <c r="C289" s="381"/>
      <c r="D289" s="381"/>
      <c r="E289" s="328"/>
      <c r="F289" s="328"/>
    </row>
    <row r="290" spans="1:7" ht="13.8" x14ac:dyDescent="0.3">
      <c r="A290" s="364"/>
      <c r="B290" s="411" t="s">
        <v>1177</v>
      </c>
      <c r="C290" s="381" t="s">
        <v>867</v>
      </c>
      <c r="D290" s="381">
        <v>1</v>
      </c>
      <c r="E290" s="272"/>
      <c r="F290" s="273">
        <f>D290*E290</f>
        <v>0</v>
      </c>
    </row>
    <row r="291" spans="1:7" ht="13.8" x14ac:dyDescent="0.3">
      <c r="A291" s="364"/>
      <c r="B291" s="411"/>
      <c r="C291" s="381"/>
      <c r="D291" s="381"/>
      <c r="E291" s="328"/>
      <c r="F291" s="328"/>
    </row>
    <row r="292" spans="1:7" ht="13.8" x14ac:dyDescent="0.3">
      <c r="A292" s="265" t="s">
        <v>1178</v>
      </c>
      <c r="B292" s="248"/>
      <c r="C292" s="250"/>
      <c r="D292" s="250"/>
      <c r="E292" s="281"/>
      <c r="F292" s="281"/>
    </row>
    <row r="293" spans="1:7" ht="13.8" x14ac:dyDescent="0.3">
      <c r="A293" s="265"/>
      <c r="B293" s="248" t="s">
        <v>1179</v>
      </c>
      <c r="C293" s="250"/>
      <c r="D293" s="250"/>
      <c r="E293" s="281"/>
      <c r="F293" s="281"/>
    </row>
    <row r="294" spans="1:7" ht="13.8" x14ac:dyDescent="0.3">
      <c r="A294" s="265"/>
      <c r="B294" s="248"/>
      <c r="C294" s="250"/>
      <c r="D294" s="250"/>
      <c r="E294" s="281"/>
      <c r="F294" s="281"/>
    </row>
    <row r="295" spans="1:7" ht="28.8" x14ac:dyDescent="0.3">
      <c r="A295" s="265"/>
      <c r="B295" s="248" t="s">
        <v>1180</v>
      </c>
      <c r="C295" s="250" t="s">
        <v>867</v>
      </c>
      <c r="D295" s="250">
        <v>1</v>
      </c>
      <c r="E295" s="272"/>
      <c r="F295" s="273">
        <f>D295*E295</f>
        <v>0</v>
      </c>
    </row>
    <row r="296" spans="1:7" ht="13.8" x14ac:dyDescent="0.3">
      <c r="A296" s="265"/>
      <c r="B296" s="248"/>
      <c r="C296" s="250"/>
      <c r="D296" s="250"/>
      <c r="E296" s="320"/>
      <c r="F296" s="320"/>
    </row>
    <row r="297" spans="1:7" ht="13.8" x14ac:dyDescent="0.3">
      <c r="A297" s="322" t="s">
        <v>1181</v>
      </c>
      <c r="B297" s="413"/>
      <c r="C297" s="414"/>
      <c r="D297" s="415"/>
      <c r="E297" s="416"/>
      <c r="F297" s="417"/>
    </row>
    <row r="298" spans="1:7" ht="169.8" customHeight="1" x14ac:dyDescent="0.3">
      <c r="A298" s="322"/>
      <c r="B298" s="418" t="s">
        <v>1805</v>
      </c>
      <c r="C298" s="414"/>
      <c r="D298" s="415"/>
      <c r="E298" s="416"/>
      <c r="F298" s="417"/>
      <c r="G298" s="693"/>
    </row>
    <row r="299" spans="1:7" ht="13.8" x14ac:dyDescent="0.3">
      <c r="A299" s="322"/>
      <c r="B299" s="413"/>
      <c r="C299" s="414" t="s">
        <v>867</v>
      </c>
      <c r="D299" s="415">
        <v>1</v>
      </c>
      <c r="E299" s="272"/>
      <c r="F299" s="273">
        <f>D299*E299</f>
        <v>0</v>
      </c>
    </row>
    <row r="300" spans="1:7" ht="13.8" x14ac:dyDescent="0.3">
      <c r="A300" s="322"/>
      <c r="B300" s="413"/>
      <c r="C300" s="414"/>
      <c r="D300" s="415"/>
      <c r="E300" s="416"/>
      <c r="F300" s="419"/>
    </row>
    <row r="301" spans="1:7" ht="13.8" x14ac:dyDescent="0.3">
      <c r="A301" s="364" t="s">
        <v>1182</v>
      </c>
      <c r="B301" s="365"/>
      <c r="C301" s="381"/>
      <c r="D301" s="381"/>
      <c r="E301" s="328"/>
      <c r="F301" s="328"/>
    </row>
    <row r="302" spans="1:7" ht="55.2" x14ac:dyDescent="0.3">
      <c r="A302" s="364"/>
      <c r="B302" s="409" t="s">
        <v>1183</v>
      </c>
      <c r="C302" s="381"/>
      <c r="D302" s="381"/>
      <c r="E302" s="328"/>
      <c r="F302" s="328"/>
    </row>
    <row r="303" spans="1:7" ht="13.8" x14ac:dyDescent="0.3">
      <c r="A303" s="364"/>
      <c r="B303" s="409"/>
      <c r="C303" s="381"/>
      <c r="D303" s="381"/>
      <c r="E303" s="328"/>
      <c r="F303" s="328"/>
    </row>
    <row r="304" spans="1:7" ht="13.8" x14ac:dyDescent="0.3">
      <c r="A304" s="364"/>
      <c r="B304" s="411" t="s">
        <v>1169</v>
      </c>
      <c r="C304" s="381" t="s">
        <v>867</v>
      </c>
      <c r="D304" s="381">
        <v>1</v>
      </c>
      <c r="E304" s="272"/>
      <c r="F304" s="273">
        <f>D304*E304</f>
        <v>0</v>
      </c>
    </row>
    <row r="305" spans="1:6" ht="13.8" x14ac:dyDescent="0.3">
      <c r="A305" s="364"/>
      <c r="B305" s="411" t="s">
        <v>1170</v>
      </c>
      <c r="C305" s="381" t="s">
        <v>867</v>
      </c>
      <c r="D305" s="381">
        <v>1</v>
      </c>
      <c r="E305" s="272"/>
      <c r="F305" s="273">
        <f>D305*E305</f>
        <v>0</v>
      </c>
    </row>
    <row r="306" spans="1:6" ht="13.8" x14ac:dyDescent="0.3">
      <c r="A306" s="364"/>
      <c r="B306" s="409" t="s">
        <v>1171</v>
      </c>
      <c r="C306" s="381" t="s">
        <v>867</v>
      </c>
      <c r="D306" s="381">
        <v>1</v>
      </c>
      <c r="E306" s="272"/>
      <c r="F306" s="273">
        <f>D306*E306</f>
        <v>0</v>
      </c>
    </row>
    <row r="307" spans="1:6" ht="13.8" x14ac:dyDescent="0.3">
      <c r="A307" s="364"/>
      <c r="B307" s="409" t="s">
        <v>1172</v>
      </c>
      <c r="C307" s="381" t="s">
        <v>867</v>
      </c>
      <c r="D307" s="381">
        <v>2</v>
      </c>
      <c r="E307" s="272"/>
      <c r="F307" s="273">
        <f>D307*E307</f>
        <v>0</v>
      </c>
    </row>
    <row r="308" spans="1:6" ht="13.8" x14ac:dyDescent="0.3">
      <c r="A308" s="364"/>
      <c r="B308" s="411"/>
      <c r="C308" s="381"/>
      <c r="D308" s="381"/>
      <c r="E308" s="328"/>
      <c r="F308" s="328"/>
    </row>
    <row r="309" spans="1:6" ht="13.8" x14ac:dyDescent="0.3">
      <c r="A309" s="364" t="s">
        <v>1184</v>
      </c>
      <c r="B309" s="365"/>
      <c r="C309" s="381"/>
      <c r="D309" s="381"/>
      <c r="E309" s="328"/>
      <c r="F309" s="328"/>
    </row>
    <row r="310" spans="1:6" ht="110.4" x14ac:dyDescent="0.3">
      <c r="A310" s="364"/>
      <c r="B310" s="411" t="s">
        <v>1185</v>
      </c>
      <c r="C310" s="381"/>
      <c r="D310" s="381"/>
      <c r="E310" s="328"/>
      <c r="F310" s="328"/>
    </row>
    <row r="311" spans="1:6" ht="13.8" x14ac:dyDescent="0.3">
      <c r="A311" s="364"/>
      <c r="B311" s="411"/>
      <c r="C311" s="381"/>
      <c r="D311" s="381"/>
      <c r="E311" s="328"/>
      <c r="F311" s="328"/>
    </row>
    <row r="312" spans="1:6" ht="13.8" x14ac:dyDescent="0.3">
      <c r="A312" s="364"/>
      <c r="B312" s="411" t="s">
        <v>1172</v>
      </c>
      <c r="C312" s="381" t="s">
        <v>867</v>
      </c>
      <c r="D312" s="381">
        <v>4</v>
      </c>
      <c r="E312" s="272"/>
      <c r="F312" s="273">
        <f>D312*E312</f>
        <v>0</v>
      </c>
    </row>
    <row r="313" spans="1:6" ht="13.8" x14ac:dyDescent="0.3">
      <c r="A313" s="364"/>
      <c r="B313" s="411"/>
      <c r="C313" s="381"/>
      <c r="D313" s="381"/>
      <c r="E313" s="328"/>
      <c r="F313" s="328"/>
    </row>
    <row r="314" spans="1:6" ht="13.8" x14ac:dyDescent="0.3">
      <c r="A314" s="364" t="s">
        <v>1186</v>
      </c>
      <c r="B314" s="411"/>
      <c r="C314" s="381"/>
      <c r="D314" s="381"/>
      <c r="E314" s="328"/>
      <c r="F314" s="328"/>
    </row>
    <row r="315" spans="1:6" ht="101.4" customHeight="1" x14ac:dyDescent="0.3">
      <c r="A315" s="364"/>
      <c r="B315" s="411" t="s">
        <v>1187</v>
      </c>
      <c r="C315" s="381"/>
      <c r="D315" s="381"/>
      <c r="E315" s="328"/>
      <c r="F315" s="328"/>
    </row>
    <row r="316" spans="1:6" ht="13.8" x14ac:dyDescent="0.3">
      <c r="A316" s="364"/>
      <c r="B316" s="411"/>
      <c r="C316" s="381"/>
      <c r="D316" s="381"/>
      <c r="E316" s="328"/>
      <c r="F316" s="328"/>
    </row>
    <row r="317" spans="1:6" ht="13.8" x14ac:dyDescent="0.3">
      <c r="A317" s="364"/>
      <c r="B317" s="411" t="s">
        <v>1188</v>
      </c>
      <c r="C317" s="381" t="s">
        <v>867</v>
      </c>
      <c r="D317" s="381">
        <v>1</v>
      </c>
      <c r="E317" s="272"/>
      <c r="F317" s="273">
        <f>D317*E317</f>
        <v>0</v>
      </c>
    </row>
    <row r="318" spans="1:6" ht="13.8" x14ac:dyDescent="0.3">
      <c r="A318" s="364"/>
      <c r="B318" s="411"/>
      <c r="C318" s="381"/>
      <c r="D318" s="381"/>
      <c r="E318" s="328"/>
      <c r="F318" s="328"/>
    </row>
    <row r="319" spans="1:6" ht="13.8" x14ac:dyDescent="0.3">
      <c r="A319" s="364" t="s">
        <v>1189</v>
      </c>
      <c r="B319" s="411"/>
      <c r="C319" s="381"/>
      <c r="D319" s="381"/>
      <c r="E319" s="328"/>
      <c r="F319" s="328"/>
    </row>
    <row r="320" spans="1:6" ht="110.4" x14ac:dyDescent="0.3">
      <c r="A320" s="265"/>
      <c r="B320" s="268" t="s">
        <v>1190</v>
      </c>
      <c r="C320" s="249"/>
      <c r="D320" s="291"/>
      <c r="E320" s="302"/>
      <c r="F320" s="337"/>
    </row>
    <row r="321" spans="1:7" ht="13.8" x14ac:dyDescent="0.3">
      <c r="A321" s="265"/>
      <c r="B321" s="420"/>
      <c r="C321" s="249"/>
      <c r="D321" s="291"/>
      <c r="E321" s="302"/>
      <c r="F321" s="337"/>
    </row>
    <row r="322" spans="1:7" ht="27.6" x14ac:dyDescent="0.3">
      <c r="A322" s="265"/>
      <c r="B322" s="420" t="s">
        <v>1191</v>
      </c>
      <c r="C322" s="249"/>
      <c r="D322" s="291"/>
      <c r="E322" s="302"/>
      <c r="F322" s="337"/>
    </row>
    <row r="323" spans="1:7" ht="13.8" x14ac:dyDescent="0.3">
      <c r="A323" s="364"/>
      <c r="B323" s="411"/>
      <c r="C323" s="381"/>
      <c r="D323" s="381"/>
      <c r="E323" s="328"/>
      <c r="F323" s="328"/>
    </row>
    <row r="324" spans="1:7" ht="13.8" x14ac:dyDescent="0.3">
      <c r="A324" s="364"/>
      <c r="B324" s="409" t="s">
        <v>1192</v>
      </c>
      <c r="C324" s="381" t="s">
        <v>867</v>
      </c>
      <c r="D324" s="381">
        <v>1</v>
      </c>
      <c r="E324" s="272"/>
      <c r="F324" s="273">
        <f>D324*E324</f>
        <v>0</v>
      </c>
    </row>
    <row r="325" spans="1:7" ht="13.8" x14ac:dyDescent="0.3">
      <c r="A325" s="364"/>
      <c r="B325" s="409" t="s">
        <v>1193</v>
      </c>
      <c r="C325" s="381" t="s">
        <v>867</v>
      </c>
      <c r="D325" s="381">
        <v>1</v>
      </c>
      <c r="E325" s="272"/>
      <c r="F325" s="273">
        <f>D325*E325</f>
        <v>0</v>
      </c>
    </row>
    <row r="326" spans="1:7" ht="13.8" x14ac:dyDescent="0.3">
      <c r="A326" s="364"/>
      <c r="B326" s="409" t="s">
        <v>1194</v>
      </c>
      <c r="C326" s="381" t="s">
        <v>867</v>
      </c>
      <c r="D326" s="381">
        <v>1</v>
      </c>
      <c r="E326" s="272"/>
      <c r="F326" s="273">
        <f>D326*E326</f>
        <v>0</v>
      </c>
    </row>
    <row r="327" spans="1:7" ht="13.8" x14ac:dyDescent="0.3">
      <c r="A327" s="364" t="s">
        <v>1195</v>
      </c>
      <c r="B327" s="411"/>
      <c r="C327" s="381"/>
      <c r="D327" s="381"/>
      <c r="E327" s="328"/>
      <c r="F327" s="328"/>
    </row>
    <row r="328" spans="1:7" ht="316.2" customHeight="1" x14ac:dyDescent="0.3">
      <c r="A328" s="421"/>
      <c r="B328" s="248" t="s">
        <v>1196</v>
      </c>
      <c r="C328" s="250"/>
      <c r="D328" s="250"/>
      <c r="E328" s="281"/>
      <c r="F328" s="281"/>
      <c r="G328" s="805" t="s">
        <v>1781</v>
      </c>
    </row>
    <row r="329" spans="1:7" ht="229.8" customHeight="1" x14ac:dyDescent="0.3">
      <c r="A329" s="421"/>
      <c r="B329" s="248" t="s">
        <v>1197</v>
      </c>
      <c r="C329" s="250"/>
      <c r="D329" s="250"/>
      <c r="E329" s="281"/>
      <c r="F329" s="281"/>
      <c r="G329" s="805"/>
    </row>
    <row r="330" spans="1:7" ht="13.8" x14ac:dyDescent="0.3">
      <c r="A330" s="421"/>
      <c r="B330" s="248"/>
      <c r="C330" s="250"/>
      <c r="D330" s="250"/>
      <c r="E330" s="281"/>
      <c r="F330" s="281"/>
    </row>
    <row r="331" spans="1:7" ht="27.6" x14ac:dyDescent="0.3">
      <c r="A331" s="421" t="s">
        <v>1198</v>
      </c>
      <c r="B331" s="248" t="s">
        <v>1199</v>
      </c>
      <c r="C331" s="250"/>
      <c r="D331" s="250"/>
      <c r="E331" s="281"/>
      <c r="F331" s="281"/>
    </row>
    <row r="332" spans="1:7" ht="13.8" x14ac:dyDescent="0.3">
      <c r="A332" s="421"/>
      <c r="B332" s="248"/>
      <c r="C332" s="250"/>
      <c r="D332" s="250"/>
      <c r="E332" s="281"/>
      <c r="F332" s="281"/>
    </row>
    <row r="333" spans="1:7" ht="13.8" x14ac:dyDescent="0.3">
      <c r="A333" s="421"/>
      <c r="B333" s="248" t="s">
        <v>1200</v>
      </c>
      <c r="C333" s="250"/>
      <c r="D333" s="250"/>
      <c r="E333" s="281"/>
      <c r="F333" s="281"/>
    </row>
    <row r="334" spans="1:7" ht="13.8" x14ac:dyDescent="0.3">
      <c r="A334" s="421"/>
      <c r="B334" s="248" t="s">
        <v>1201</v>
      </c>
      <c r="C334" s="250"/>
      <c r="D334" s="250"/>
      <c r="E334" s="281"/>
      <c r="F334" s="281"/>
    </row>
    <row r="335" spans="1:7" ht="13.8" x14ac:dyDescent="0.3">
      <c r="A335" s="421"/>
      <c r="B335" s="248" t="s">
        <v>1202</v>
      </c>
      <c r="C335" s="250"/>
      <c r="D335" s="250"/>
      <c r="E335" s="281"/>
      <c r="F335" s="281"/>
    </row>
    <row r="336" spans="1:7" ht="13.8" x14ac:dyDescent="0.3">
      <c r="A336" s="421"/>
      <c r="B336" s="248" t="s">
        <v>1203</v>
      </c>
      <c r="C336" s="250"/>
      <c r="D336" s="250"/>
      <c r="E336" s="281"/>
      <c r="F336" s="281"/>
    </row>
    <row r="337" spans="1:6" ht="13.8" x14ac:dyDescent="0.3">
      <c r="A337" s="421"/>
      <c r="B337" s="248" t="s">
        <v>1204</v>
      </c>
      <c r="C337" s="250" t="s">
        <v>867</v>
      </c>
      <c r="D337" s="250">
        <v>1</v>
      </c>
      <c r="E337" s="272"/>
      <c r="F337" s="273">
        <f>D337*E337</f>
        <v>0</v>
      </c>
    </row>
    <row r="338" spans="1:6" ht="13.8" x14ac:dyDescent="0.3">
      <c r="A338" s="421"/>
      <c r="B338" s="248"/>
      <c r="C338" s="250"/>
      <c r="D338" s="250"/>
      <c r="E338" s="281"/>
      <c r="F338" s="281"/>
    </row>
    <row r="339" spans="1:6" ht="13.8" x14ac:dyDescent="0.3">
      <c r="A339" s="421" t="s">
        <v>1205</v>
      </c>
      <c r="B339" s="248" t="s">
        <v>1206</v>
      </c>
      <c r="C339" s="250"/>
      <c r="D339" s="250"/>
      <c r="E339" s="281"/>
      <c r="F339" s="281"/>
    </row>
    <row r="340" spans="1:6" ht="13.8" x14ac:dyDescent="0.3">
      <c r="A340" s="421"/>
      <c r="B340" s="248"/>
      <c r="C340" s="250"/>
      <c r="D340" s="250"/>
      <c r="E340" s="281"/>
      <c r="F340" s="281"/>
    </row>
    <row r="341" spans="1:6" ht="13.8" x14ac:dyDescent="0.3">
      <c r="A341" s="421"/>
      <c r="B341" s="248" t="s">
        <v>1200</v>
      </c>
      <c r="C341" s="250"/>
      <c r="D341" s="250"/>
      <c r="E341" s="281"/>
      <c r="F341" s="281"/>
    </row>
    <row r="342" spans="1:6" ht="13.8" x14ac:dyDescent="0.3">
      <c r="A342" s="421"/>
      <c r="B342" s="248" t="s">
        <v>1207</v>
      </c>
      <c r="C342" s="250"/>
      <c r="D342" s="250"/>
      <c r="E342" s="281"/>
      <c r="F342" s="281"/>
    </row>
    <row r="343" spans="1:6" ht="13.8" x14ac:dyDescent="0.3">
      <c r="A343" s="421"/>
      <c r="B343" s="248" t="s">
        <v>1208</v>
      </c>
      <c r="C343" s="250"/>
      <c r="D343" s="250"/>
      <c r="E343" s="281"/>
      <c r="F343" s="281"/>
    </row>
    <row r="344" spans="1:6" ht="13.8" x14ac:dyDescent="0.3">
      <c r="A344" s="421"/>
      <c r="B344" s="248" t="s">
        <v>1203</v>
      </c>
      <c r="C344" s="250"/>
      <c r="D344" s="250"/>
      <c r="E344" s="281"/>
      <c r="F344" s="281"/>
    </row>
    <row r="345" spans="1:6" ht="13.8" x14ac:dyDescent="0.3">
      <c r="A345" s="421"/>
      <c r="B345" s="248" t="s">
        <v>1209</v>
      </c>
      <c r="C345" s="250" t="s">
        <v>867</v>
      </c>
      <c r="D345" s="250">
        <v>1</v>
      </c>
      <c r="E345" s="272"/>
      <c r="F345" s="273">
        <f>D345*E345</f>
        <v>0</v>
      </c>
    </row>
    <row r="346" spans="1:6" ht="13.8" x14ac:dyDescent="0.3">
      <c r="A346" s="421"/>
      <c r="B346" s="248"/>
      <c r="C346" s="250"/>
      <c r="D346" s="250"/>
      <c r="E346" s="281"/>
      <c r="F346" s="281"/>
    </row>
    <row r="347" spans="1:6" ht="27.6" x14ac:dyDescent="0.3">
      <c r="A347" s="421" t="s">
        <v>1210</v>
      </c>
      <c r="B347" s="248" t="s">
        <v>1211</v>
      </c>
      <c r="C347" s="250"/>
      <c r="D347" s="250"/>
      <c r="E347" s="281"/>
      <c r="F347" s="281"/>
    </row>
    <row r="348" spans="1:6" ht="13.8" x14ac:dyDescent="0.3">
      <c r="A348" s="421"/>
      <c r="B348" s="248"/>
      <c r="C348" s="250"/>
      <c r="D348" s="250"/>
      <c r="E348" s="281"/>
      <c r="F348" s="281"/>
    </row>
    <row r="349" spans="1:6" ht="13.8" x14ac:dyDescent="0.3">
      <c r="A349" s="421"/>
      <c r="B349" s="248" t="s">
        <v>1200</v>
      </c>
      <c r="C349" s="250"/>
      <c r="D349" s="250"/>
      <c r="E349" s="281"/>
      <c r="F349" s="281"/>
    </row>
    <row r="350" spans="1:6" ht="13.8" x14ac:dyDescent="0.3">
      <c r="A350" s="421"/>
      <c r="B350" s="248" t="s">
        <v>1212</v>
      </c>
      <c r="C350" s="250"/>
      <c r="D350" s="250"/>
      <c r="E350" s="281"/>
      <c r="F350" s="281"/>
    </row>
    <row r="351" spans="1:6" ht="13.8" x14ac:dyDescent="0.3">
      <c r="A351" s="421"/>
      <c r="B351" s="248" t="s">
        <v>1213</v>
      </c>
      <c r="C351" s="250"/>
      <c r="D351" s="250"/>
      <c r="E351" s="281"/>
      <c r="F351" s="281"/>
    </row>
    <row r="352" spans="1:6" ht="13.8" x14ac:dyDescent="0.3">
      <c r="A352" s="421"/>
      <c r="B352" s="248" t="s">
        <v>1203</v>
      </c>
      <c r="C352" s="250"/>
      <c r="D352" s="250"/>
      <c r="E352" s="281"/>
      <c r="F352" s="281"/>
    </row>
    <row r="353" spans="1:6" ht="13.8" x14ac:dyDescent="0.3">
      <c r="A353" s="421"/>
      <c r="B353" s="248" t="s">
        <v>1204</v>
      </c>
      <c r="C353" s="250" t="s">
        <v>867</v>
      </c>
      <c r="D353" s="250">
        <v>1</v>
      </c>
      <c r="E353" s="272"/>
      <c r="F353" s="273">
        <f>D353*E353</f>
        <v>0</v>
      </c>
    </row>
    <row r="354" spans="1:6" ht="13.8" x14ac:dyDescent="0.3">
      <c r="A354" s="421"/>
      <c r="B354" s="422"/>
      <c r="C354" s="250"/>
      <c r="D354" s="250"/>
      <c r="E354" s="281"/>
      <c r="F354" s="423"/>
    </row>
    <row r="355" spans="1:6" ht="13.8" x14ac:dyDescent="0.3">
      <c r="A355" s="421" t="s">
        <v>1214</v>
      </c>
      <c r="B355" s="248" t="s">
        <v>1215</v>
      </c>
      <c r="C355" s="250"/>
      <c r="D355" s="250"/>
      <c r="E355" s="281"/>
      <c r="F355" s="281"/>
    </row>
    <row r="356" spans="1:6" ht="13.8" x14ac:dyDescent="0.3">
      <c r="A356" s="421"/>
      <c r="B356" s="248"/>
      <c r="C356" s="250"/>
      <c r="D356" s="250"/>
      <c r="E356" s="281"/>
      <c r="F356" s="281"/>
    </row>
    <row r="357" spans="1:6" ht="13.8" x14ac:dyDescent="0.3">
      <c r="A357" s="421"/>
      <c r="B357" s="248" t="s">
        <v>1200</v>
      </c>
      <c r="C357" s="250"/>
      <c r="D357" s="250"/>
      <c r="E357" s="281"/>
      <c r="F357" s="281"/>
    </row>
    <row r="358" spans="1:6" ht="13.8" x14ac:dyDescent="0.3">
      <c r="A358" s="421"/>
      <c r="B358" s="248" t="s">
        <v>1216</v>
      </c>
      <c r="C358" s="250"/>
      <c r="D358" s="250"/>
      <c r="E358" s="281"/>
      <c r="F358" s="281"/>
    </row>
    <row r="359" spans="1:6" ht="13.8" x14ac:dyDescent="0.3">
      <c r="A359" s="421"/>
      <c r="B359" s="248" t="s">
        <v>1217</v>
      </c>
      <c r="C359" s="250"/>
      <c r="D359" s="250"/>
      <c r="E359" s="281"/>
      <c r="F359" s="281"/>
    </row>
    <row r="360" spans="1:6" ht="13.8" x14ac:dyDescent="0.3">
      <c r="A360" s="421"/>
      <c r="B360" s="248" t="s">
        <v>1203</v>
      </c>
      <c r="C360" s="250"/>
      <c r="D360" s="250"/>
      <c r="E360" s="281"/>
      <c r="F360" s="281"/>
    </row>
    <row r="361" spans="1:6" ht="13.8" x14ac:dyDescent="0.3">
      <c r="A361" s="421"/>
      <c r="B361" s="248" t="s">
        <v>1209</v>
      </c>
      <c r="C361" s="250" t="s">
        <v>867</v>
      </c>
      <c r="D361" s="250">
        <v>1</v>
      </c>
      <c r="E361" s="272"/>
      <c r="F361" s="273">
        <f>D361*E361</f>
        <v>0</v>
      </c>
    </row>
    <row r="362" spans="1:6" ht="13.8" x14ac:dyDescent="0.3">
      <c r="A362" s="421"/>
      <c r="B362" s="248"/>
      <c r="C362" s="250"/>
      <c r="D362" s="250"/>
      <c r="E362" s="281"/>
      <c r="F362" s="281"/>
    </row>
    <row r="363" spans="1:6" ht="13.8" x14ac:dyDescent="0.3">
      <c r="A363" s="421" t="s">
        <v>1218</v>
      </c>
      <c r="B363" s="248" t="s">
        <v>1219</v>
      </c>
      <c r="C363" s="250"/>
      <c r="D363" s="250"/>
      <c r="E363" s="281"/>
      <c r="F363" s="281"/>
    </row>
    <row r="364" spans="1:6" ht="13.8" x14ac:dyDescent="0.3">
      <c r="A364" s="421"/>
      <c r="B364" s="248"/>
      <c r="C364" s="250"/>
      <c r="D364" s="250"/>
      <c r="E364" s="281"/>
      <c r="F364" s="281"/>
    </row>
    <row r="365" spans="1:6" ht="13.8" x14ac:dyDescent="0.3">
      <c r="A365" s="421"/>
      <c r="B365" s="248" t="s">
        <v>1200</v>
      </c>
      <c r="C365" s="250"/>
      <c r="D365" s="250"/>
      <c r="E365" s="281"/>
      <c r="F365" s="281"/>
    </row>
    <row r="366" spans="1:6" ht="13.8" x14ac:dyDescent="0.3">
      <c r="A366" s="421"/>
      <c r="B366" s="248" t="s">
        <v>1220</v>
      </c>
      <c r="C366" s="250"/>
      <c r="D366" s="250"/>
      <c r="E366" s="281"/>
      <c r="F366" s="281"/>
    </row>
    <row r="367" spans="1:6" ht="13.8" x14ac:dyDescent="0.3">
      <c r="A367" s="421"/>
      <c r="B367" s="248" t="s">
        <v>1213</v>
      </c>
      <c r="C367" s="250"/>
      <c r="D367" s="250"/>
      <c r="E367" s="281"/>
      <c r="F367" s="281"/>
    </row>
    <row r="368" spans="1:6" ht="13.8" x14ac:dyDescent="0.3">
      <c r="A368" s="421"/>
      <c r="B368" s="248" t="s">
        <v>1203</v>
      </c>
      <c r="C368" s="250"/>
      <c r="D368" s="250"/>
      <c r="E368" s="281"/>
      <c r="F368" s="281"/>
    </row>
    <row r="369" spans="1:7" ht="13.8" x14ac:dyDescent="0.3">
      <c r="A369" s="421"/>
      <c r="B369" s="248" t="s">
        <v>1209</v>
      </c>
      <c r="C369" s="250" t="s">
        <v>867</v>
      </c>
      <c r="D369" s="250">
        <v>1</v>
      </c>
      <c r="E369" s="272"/>
      <c r="F369" s="273">
        <f>D369*E369</f>
        <v>0</v>
      </c>
    </row>
    <row r="370" spans="1:7" ht="13.8" x14ac:dyDescent="0.3">
      <c r="A370" s="421"/>
      <c r="B370" s="422"/>
      <c r="C370" s="250"/>
      <c r="D370" s="250"/>
      <c r="E370" s="281"/>
      <c r="F370" s="423"/>
    </row>
    <row r="371" spans="1:7" ht="13.8" x14ac:dyDescent="0.3">
      <c r="A371" s="364" t="s">
        <v>1221</v>
      </c>
      <c r="B371" s="420"/>
      <c r="C371" s="250"/>
      <c r="D371" s="291"/>
      <c r="E371" s="302"/>
      <c r="F371" s="337"/>
    </row>
    <row r="372" spans="1:7" ht="207.6" customHeight="1" x14ac:dyDescent="0.3">
      <c r="A372" s="265"/>
      <c r="B372" s="424" t="s">
        <v>1222</v>
      </c>
      <c r="C372" s="250"/>
      <c r="D372" s="291"/>
      <c r="E372" s="302"/>
      <c r="F372" s="337"/>
      <c r="G372" s="702" t="s">
        <v>1781</v>
      </c>
    </row>
    <row r="373" spans="1:7" ht="13.8" x14ac:dyDescent="0.3">
      <c r="A373" s="265"/>
      <c r="B373" s="406"/>
      <c r="C373" s="250" t="s">
        <v>867</v>
      </c>
      <c r="D373" s="291">
        <v>1</v>
      </c>
      <c r="E373" s="272"/>
      <c r="F373" s="273">
        <f>D373*E373</f>
        <v>0</v>
      </c>
    </row>
    <row r="374" spans="1:7" ht="13.8" x14ac:dyDescent="0.3">
      <c r="A374" s="265"/>
      <c r="B374" s="406"/>
      <c r="C374" s="250"/>
      <c r="D374" s="291"/>
      <c r="E374" s="302"/>
      <c r="F374" s="419"/>
    </row>
    <row r="375" spans="1:7" ht="13.8" x14ac:dyDescent="0.3">
      <c r="A375" s="364" t="s">
        <v>1223</v>
      </c>
      <c r="B375" s="409"/>
      <c r="C375" s="381"/>
      <c r="D375" s="381"/>
      <c r="E375" s="328"/>
      <c r="F375" s="328"/>
    </row>
    <row r="376" spans="1:7" ht="82.8" x14ac:dyDescent="0.3">
      <c r="A376" s="364"/>
      <c r="B376" s="409" t="s">
        <v>1224</v>
      </c>
      <c r="C376" s="381"/>
      <c r="D376" s="381"/>
      <c r="E376" s="328"/>
      <c r="F376" s="328"/>
    </row>
    <row r="377" spans="1:7" ht="13.8" x14ac:dyDescent="0.3">
      <c r="A377" s="364"/>
      <c r="B377" s="409"/>
      <c r="C377" s="381"/>
      <c r="D377" s="381"/>
      <c r="E377" s="328"/>
      <c r="F377" s="328"/>
    </row>
    <row r="378" spans="1:7" ht="13.8" x14ac:dyDescent="0.3">
      <c r="A378" s="364"/>
      <c r="B378" s="409" t="s">
        <v>1225</v>
      </c>
      <c r="C378" s="381" t="s">
        <v>867</v>
      </c>
      <c r="D378" s="381">
        <v>8</v>
      </c>
      <c r="E378" s="272"/>
      <c r="F378" s="273">
        <f>D378*E378</f>
        <v>0</v>
      </c>
    </row>
    <row r="379" spans="1:7" ht="13.8" x14ac:dyDescent="0.3">
      <c r="A379" s="364"/>
      <c r="B379" s="409"/>
      <c r="C379" s="381"/>
      <c r="D379" s="381"/>
      <c r="E379" s="328"/>
      <c r="F379" s="328"/>
    </row>
    <row r="380" spans="1:7" ht="13.8" x14ac:dyDescent="0.3">
      <c r="A380" s="364"/>
      <c r="B380" s="409"/>
      <c r="C380" s="381"/>
      <c r="D380" s="381"/>
      <c r="E380" s="428"/>
      <c r="F380" s="428"/>
    </row>
    <row r="381" spans="1:7" ht="13.8" x14ac:dyDescent="0.3">
      <c r="A381" s="364" t="s">
        <v>1226</v>
      </c>
      <c r="B381" s="409"/>
      <c r="C381" s="381"/>
      <c r="D381" s="381"/>
      <c r="E381" s="328"/>
      <c r="F381" s="328"/>
    </row>
    <row r="382" spans="1:7" ht="41.4" x14ac:dyDescent="0.3">
      <c r="A382" s="220"/>
      <c r="B382" s="409" t="s">
        <v>1227</v>
      </c>
      <c r="C382" s="381"/>
      <c r="D382" s="381"/>
      <c r="E382" s="328"/>
      <c r="F382" s="328"/>
    </row>
    <row r="383" spans="1:7" ht="13.8" x14ac:dyDescent="0.3">
      <c r="A383" s="364"/>
      <c r="B383" s="409"/>
      <c r="C383" s="381"/>
      <c r="D383" s="381"/>
      <c r="E383" s="328"/>
      <c r="F383" s="328"/>
    </row>
    <row r="384" spans="1:7" ht="13.8" x14ac:dyDescent="0.3">
      <c r="A384" s="364"/>
      <c r="B384" s="409" t="s">
        <v>1228</v>
      </c>
      <c r="C384" s="381" t="s">
        <v>867</v>
      </c>
      <c r="D384" s="381">
        <v>3</v>
      </c>
      <c r="E384" s="272"/>
      <c r="F384" s="273">
        <f>D384*E384</f>
        <v>0</v>
      </c>
    </row>
    <row r="385" spans="1:6" ht="13.8" x14ac:dyDescent="0.3">
      <c r="A385" s="364"/>
      <c r="B385" s="409"/>
      <c r="C385" s="381"/>
      <c r="D385" s="381"/>
      <c r="E385" s="328"/>
      <c r="F385" s="328"/>
    </row>
    <row r="386" spans="1:6" ht="13.8" x14ac:dyDescent="0.3">
      <c r="A386" s="364" t="s">
        <v>1229</v>
      </c>
      <c r="B386" s="409"/>
      <c r="C386" s="381"/>
      <c r="D386" s="381"/>
      <c r="E386" s="328"/>
      <c r="F386" s="328"/>
    </row>
    <row r="387" spans="1:6" ht="55.2" x14ac:dyDescent="0.3">
      <c r="A387" s="220"/>
      <c r="B387" s="409" t="s">
        <v>1230</v>
      </c>
      <c r="C387" s="381"/>
      <c r="D387" s="381"/>
      <c r="E387" s="328"/>
      <c r="F387" s="328"/>
    </row>
    <row r="388" spans="1:6" ht="13.8" x14ac:dyDescent="0.3">
      <c r="A388" s="364"/>
      <c r="B388" s="409"/>
      <c r="C388" s="381" t="s">
        <v>867</v>
      </c>
      <c r="D388" s="381">
        <v>8</v>
      </c>
      <c r="E388" s="272"/>
      <c r="F388" s="273">
        <f>D388*E388</f>
        <v>0</v>
      </c>
    </row>
    <row r="389" spans="1:6" ht="13.8" x14ac:dyDescent="0.3">
      <c r="A389" s="364"/>
      <c r="B389" s="409"/>
      <c r="C389" s="381"/>
      <c r="D389" s="381"/>
      <c r="E389" s="328"/>
      <c r="F389" s="328"/>
    </row>
    <row r="390" spans="1:6" ht="13.8" x14ac:dyDescent="0.3">
      <c r="A390" s="364" t="s">
        <v>1231</v>
      </c>
      <c r="B390" s="409"/>
      <c r="C390" s="381"/>
      <c r="D390" s="381"/>
      <c r="E390" s="328"/>
      <c r="F390" s="328"/>
    </row>
    <row r="391" spans="1:6" ht="55.2" x14ac:dyDescent="0.3">
      <c r="A391" s="220"/>
      <c r="B391" s="409" t="s">
        <v>1232</v>
      </c>
      <c r="C391" s="381"/>
      <c r="D391" s="381"/>
      <c r="E391" s="328"/>
      <c r="F391" s="328"/>
    </row>
    <row r="392" spans="1:6" ht="13.8" x14ac:dyDescent="0.3">
      <c r="A392" s="364"/>
      <c r="B392" s="409"/>
      <c r="C392" s="381" t="s">
        <v>867</v>
      </c>
      <c r="D392" s="381">
        <v>4</v>
      </c>
      <c r="E392" s="272"/>
      <c r="F392" s="273">
        <f>D392*E392</f>
        <v>0</v>
      </c>
    </row>
    <row r="393" spans="1:6" ht="13.8" x14ac:dyDescent="0.3">
      <c r="A393" s="364"/>
      <c r="B393" s="409"/>
      <c r="C393" s="381"/>
      <c r="D393" s="381"/>
      <c r="E393" s="328"/>
      <c r="F393" s="328"/>
    </row>
    <row r="394" spans="1:6" ht="13.8" x14ac:dyDescent="0.3">
      <c r="A394" s="364" t="s">
        <v>1233</v>
      </c>
      <c r="B394" s="409"/>
      <c r="C394" s="381"/>
      <c r="D394" s="381"/>
      <c r="E394" s="328"/>
      <c r="F394" s="328"/>
    </row>
    <row r="395" spans="1:6" ht="55.2" x14ac:dyDescent="0.3">
      <c r="A395" s="220"/>
      <c r="B395" s="409" t="s">
        <v>1232</v>
      </c>
      <c r="C395" s="381"/>
      <c r="D395" s="381"/>
      <c r="E395" s="328"/>
      <c r="F395" s="328"/>
    </row>
    <row r="396" spans="1:6" ht="13.8" x14ac:dyDescent="0.3">
      <c r="A396" s="364"/>
      <c r="B396" s="409"/>
      <c r="C396" s="381" t="s">
        <v>867</v>
      </c>
      <c r="D396" s="381">
        <v>4</v>
      </c>
      <c r="E396" s="272"/>
      <c r="F396" s="273">
        <f>D396*E396</f>
        <v>0</v>
      </c>
    </row>
    <row r="397" spans="1:6" ht="13.8" x14ac:dyDescent="0.3">
      <c r="A397" s="364"/>
      <c r="B397" s="409"/>
      <c r="C397" s="381"/>
      <c r="D397" s="381"/>
      <c r="E397" s="328"/>
      <c r="F397" s="328"/>
    </row>
    <row r="398" spans="1:6" ht="13.8" x14ac:dyDescent="0.3">
      <c r="A398" s="364" t="s">
        <v>1234</v>
      </c>
      <c r="B398" s="409"/>
      <c r="C398" s="381"/>
      <c r="D398" s="381"/>
      <c r="E398" s="328"/>
      <c r="F398" s="328"/>
    </row>
    <row r="399" spans="1:6" ht="41.4" x14ac:dyDescent="0.3">
      <c r="A399" s="220"/>
      <c r="B399" s="409" t="s">
        <v>1235</v>
      </c>
      <c r="C399" s="381"/>
      <c r="D399" s="381"/>
      <c r="E399" s="328"/>
      <c r="F399" s="328"/>
    </row>
    <row r="400" spans="1:6" ht="13.8" x14ac:dyDescent="0.3">
      <c r="A400" s="364"/>
      <c r="B400" s="409"/>
      <c r="C400" s="381"/>
      <c r="D400" s="381"/>
      <c r="E400" s="328"/>
      <c r="F400" s="328"/>
    </row>
    <row r="401" spans="1:6" ht="13.8" x14ac:dyDescent="0.3">
      <c r="A401" s="364"/>
      <c r="B401" s="409" t="s">
        <v>1236</v>
      </c>
      <c r="C401" s="381" t="s">
        <v>867</v>
      </c>
      <c r="D401" s="381">
        <v>6</v>
      </c>
      <c r="E401" s="272"/>
      <c r="F401" s="273">
        <f>D401*E401</f>
        <v>0</v>
      </c>
    </row>
    <row r="402" spans="1:6" ht="13.8" x14ac:dyDescent="0.3">
      <c r="A402" s="364"/>
      <c r="B402" s="409"/>
      <c r="C402" s="381"/>
      <c r="D402" s="381"/>
      <c r="E402" s="328"/>
      <c r="F402" s="328"/>
    </row>
    <row r="403" spans="1:6" ht="41.4" x14ac:dyDescent="0.3">
      <c r="A403" s="364" t="s">
        <v>1237</v>
      </c>
      <c r="B403" s="248" t="s">
        <v>1238</v>
      </c>
      <c r="C403" s="250"/>
      <c r="D403" s="250"/>
      <c r="E403" s="320"/>
      <c r="F403" s="320"/>
    </row>
    <row r="404" spans="1:6" ht="13.8" x14ac:dyDescent="0.3">
      <c r="A404" s="265"/>
      <c r="B404" s="248"/>
      <c r="C404" s="250"/>
      <c r="D404" s="250"/>
      <c r="E404" s="320"/>
      <c r="F404" s="320"/>
    </row>
    <row r="405" spans="1:6" ht="13.8" x14ac:dyDescent="0.3">
      <c r="A405" s="265"/>
      <c r="B405" s="248" t="s">
        <v>1239</v>
      </c>
      <c r="C405" s="250" t="s">
        <v>1053</v>
      </c>
      <c r="D405" s="250">
        <v>1</v>
      </c>
      <c r="E405" s="272"/>
      <c r="F405" s="273">
        <f>D405*E405</f>
        <v>0</v>
      </c>
    </row>
    <row r="406" spans="1:6" ht="13.8" x14ac:dyDescent="0.3">
      <c r="A406" s="265"/>
      <c r="B406" s="248"/>
      <c r="C406" s="250"/>
      <c r="D406" s="250"/>
      <c r="E406" s="320"/>
      <c r="F406" s="320"/>
    </row>
    <row r="407" spans="1:6" ht="13.8" x14ac:dyDescent="0.3">
      <c r="A407" s="364"/>
      <c r="B407" s="409"/>
      <c r="C407" s="381"/>
      <c r="D407" s="381"/>
      <c r="E407" s="328"/>
      <c r="F407" s="328"/>
    </row>
    <row r="408" spans="1:6" ht="13.8" x14ac:dyDescent="0.3">
      <c r="A408" s="364"/>
      <c r="B408" s="365"/>
      <c r="C408" s="366"/>
      <c r="D408" s="366"/>
      <c r="E408" s="328"/>
      <c r="F408" s="328"/>
    </row>
    <row r="409" spans="1:6" ht="15.6" x14ac:dyDescent="0.3">
      <c r="A409" s="375" t="s">
        <v>17</v>
      </c>
      <c r="B409" s="425" t="s">
        <v>1143</v>
      </c>
      <c r="C409" s="426"/>
      <c r="D409" s="376"/>
      <c r="E409" s="377"/>
      <c r="F409" s="378"/>
    </row>
    <row r="410" spans="1:6" ht="15.6" x14ac:dyDescent="0.3">
      <c r="A410" s="379"/>
      <c r="B410" s="380"/>
      <c r="C410" s="381"/>
      <c r="D410" s="381"/>
      <c r="E410" s="382"/>
      <c r="F410" s="383"/>
    </row>
    <row r="411" spans="1:6" ht="31.2" x14ac:dyDescent="0.3">
      <c r="A411" s="379"/>
      <c r="B411" s="380" t="s">
        <v>1141</v>
      </c>
      <c r="C411" s="381"/>
      <c r="D411" s="381"/>
      <c r="E411" s="795">
        <f>SUM(F225:F405)</f>
        <v>0</v>
      </c>
      <c r="F411" s="796"/>
    </row>
    <row r="412" spans="1:6" ht="18" x14ac:dyDescent="0.3">
      <c r="A412" s="384"/>
      <c r="B412" s="385"/>
      <c r="C412" s="386"/>
      <c r="D412" s="386"/>
      <c r="E412" s="387"/>
      <c r="F412" s="388"/>
    </row>
    <row r="413" spans="1:6" ht="13.8" x14ac:dyDescent="0.3">
      <c r="A413" s="364"/>
      <c r="B413" s="365"/>
      <c r="C413" s="366"/>
      <c r="D413" s="366"/>
      <c r="E413" s="328"/>
      <c r="F413" s="328"/>
    </row>
    <row r="414" spans="1:6" ht="13.8" x14ac:dyDescent="0.3">
      <c r="A414" s="364"/>
      <c r="B414" s="365"/>
      <c r="C414" s="366"/>
      <c r="D414" s="366"/>
      <c r="E414" s="328"/>
      <c r="F414" s="328"/>
    </row>
    <row r="415" spans="1:6" ht="13.8" x14ac:dyDescent="0.3">
      <c r="A415" s="358" t="s">
        <v>1240</v>
      </c>
      <c r="B415" s="359" t="s">
        <v>1241</v>
      </c>
      <c r="C415" s="360"/>
      <c r="D415" s="360"/>
      <c r="E415" s="361"/>
      <c r="F415" s="362"/>
    </row>
    <row r="416" spans="1:6" ht="13.8" x14ac:dyDescent="0.3">
      <c r="A416" s="363"/>
      <c r="B416" s="274"/>
      <c r="C416" s="344"/>
      <c r="D416" s="344"/>
      <c r="E416" s="357"/>
      <c r="F416" s="357"/>
    </row>
    <row r="417" spans="1:6" ht="27.6" x14ac:dyDescent="0.25">
      <c r="A417" s="427" t="s">
        <v>1135</v>
      </c>
      <c r="B417" s="790" t="s">
        <v>1144</v>
      </c>
      <c r="C417" s="790"/>
      <c r="D417" s="790"/>
      <c r="E417" s="790"/>
      <c r="F417" s="790"/>
    </row>
    <row r="418" spans="1:6" ht="13.8" x14ac:dyDescent="0.3">
      <c r="A418" s="427"/>
      <c r="B418" s="365"/>
      <c r="C418" s="366"/>
      <c r="D418" s="366"/>
      <c r="E418" s="328"/>
      <c r="F418" s="328"/>
    </row>
    <row r="419" spans="1:6" ht="13.8" x14ac:dyDescent="0.3">
      <c r="A419" s="265" t="s">
        <v>1242</v>
      </c>
      <c r="B419" s="248"/>
      <c r="C419" s="249"/>
      <c r="D419" s="250"/>
      <c r="E419" s="284"/>
      <c r="F419" s="267"/>
    </row>
    <row r="420" spans="1:6" ht="116.4" customHeight="1" x14ac:dyDescent="0.3">
      <c r="A420" s="265"/>
      <c r="B420" s="283" t="s">
        <v>1806</v>
      </c>
      <c r="C420" s="249"/>
      <c r="D420" s="250"/>
      <c r="E420" s="284"/>
      <c r="F420" s="267"/>
    </row>
    <row r="421" spans="1:6" ht="41.4" x14ac:dyDescent="0.3">
      <c r="A421" s="265"/>
      <c r="B421" s="248" t="s">
        <v>1243</v>
      </c>
      <c r="C421" s="249"/>
      <c r="D421" s="250"/>
      <c r="E421" s="284"/>
      <c r="F421" s="267"/>
    </row>
    <row r="422" spans="1:6" ht="99" customHeight="1" x14ac:dyDescent="0.3">
      <c r="A422" s="265"/>
      <c r="B422" s="248" t="s">
        <v>1244</v>
      </c>
      <c r="C422" s="249"/>
      <c r="D422" s="250"/>
      <c r="E422" s="284"/>
      <c r="F422" s="267"/>
    </row>
    <row r="423" spans="1:6" ht="13.8" x14ac:dyDescent="0.3">
      <c r="A423" s="265"/>
      <c r="B423" s="248"/>
      <c r="C423" s="249"/>
      <c r="D423" s="250"/>
      <c r="E423" s="285"/>
      <c r="F423" s="267"/>
    </row>
    <row r="424" spans="1:6" ht="13.8" x14ac:dyDescent="0.3">
      <c r="A424" s="429"/>
      <c r="B424" s="248" t="s">
        <v>1245</v>
      </c>
      <c r="C424" s="430" t="s">
        <v>632</v>
      </c>
      <c r="D424" s="431">
        <v>10</v>
      </c>
      <c r="E424" s="272"/>
      <c r="F424" s="273">
        <f>D424*E424</f>
        <v>0</v>
      </c>
    </row>
    <row r="425" spans="1:6" ht="13.8" x14ac:dyDescent="0.3">
      <c r="A425" s="429"/>
      <c r="B425" s="248" t="s">
        <v>1100</v>
      </c>
      <c r="C425" s="430" t="s">
        <v>632</v>
      </c>
      <c r="D425" s="431">
        <v>25</v>
      </c>
      <c r="E425" s="272"/>
      <c r="F425" s="273">
        <f>D425*E425</f>
        <v>0</v>
      </c>
    </row>
    <row r="426" spans="1:6" ht="13.8" x14ac:dyDescent="0.3">
      <c r="A426" s="429"/>
      <c r="B426" s="248" t="s">
        <v>1246</v>
      </c>
      <c r="C426" s="430" t="s">
        <v>632</v>
      </c>
      <c r="D426" s="431">
        <v>15</v>
      </c>
      <c r="E426" s="272"/>
      <c r="F426" s="273">
        <f>D426*E426</f>
        <v>0</v>
      </c>
    </row>
    <row r="427" spans="1:6" ht="13.8" x14ac:dyDescent="0.3">
      <c r="A427" s="429"/>
      <c r="B427" s="248" t="s">
        <v>1247</v>
      </c>
      <c r="C427" s="430" t="s">
        <v>632</v>
      </c>
      <c r="D427" s="431">
        <v>20</v>
      </c>
      <c r="E427" s="272"/>
      <c r="F427" s="273">
        <f>D427*E427</f>
        <v>0</v>
      </c>
    </row>
    <row r="428" spans="1:6" ht="13.8" x14ac:dyDescent="0.3">
      <c r="A428" s="265"/>
      <c r="B428" s="418"/>
      <c r="C428" s="414"/>
      <c r="D428" s="414"/>
      <c r="E428" s="432"/>
      <c r="F428" s="267"/>
    </row>
    <row r="429" spans="1:6" ht="55.2" x14ac:dyDescent="0.3">
      <c r="A429" s="330"/>
      <c r="B429" s="317" t="s">
        <v>1248</v>
      </c>
      <c r="C429" s="186"/>
      <c r="D429" s="186"/>
      <c r="E429" s="331"/>
      <c r="F429" s="331"/>
    </row>
    <row r="430" spans="1:6" ht="13.8" x14ac:dyDescent="0.3">
      <c r="A430" s="220"/>
      <c r="B430" s="248"/>
      <c r="C430" s="186"/>
      <c r="D430" s="186"/>
      <c r="E430" s="331"/>
      <c r="F430" s="331"/>
    </row>
    <row r="431" spans="1:6" ht="13.8" x14ac:dyDescent="0.3">
      <c r="A431" s="364"/>
      <c r="B431" s="365"/>
      <c r="C431" s="366"/>
      <c r="D431" s="366"/>
      <c r="E431" s="328"/>
      <c r="F431" s="328"/>
    </row>
    <row r="432" spans="1:6" ht="15.6" x14ac:dyDescent="0.3">
      <c r="A432" s="375" t="s">
        <v>18</v>
      </c>
      <c r="B432" s="425" t="s">
        <v>1241</v>
      </c>
      <c r="C432" s="426"/>
      <c r="D432" s="376"/>
      <c r="E432" s="377"/>
      <c r="F432" s="378"/>
    </row>
    <row r="433" spans="1:6" ht="15.6" x14ac:dyDescent="0.3">
      <c r="A433" s="379"/>
      <c r="B433" s="380"/>
      <c r="C433" s="381"/>
      <c r="D433" s="381"/>
      <c r="E433" s="382"/>
      <c r="F433" s="383"/>
    </row>
    <row r="434" spans="1:6" ht="31.2" x14ac:dyDescent="0.3">
      <c r="A434" s="379"/>
      <c r="B434" s="380" t="s">
        <v>1141</v>
      </c>
      <c r="C434" s="381"/>
      <c r="D434" s="381"/>
      <c r="E434" s="795">
        <f>SUM(F424:F428)</f>
        <v>0</v>
      </c>
      <c r="F434" s="796"/>
    </row>
    <row r="435" spans="1:6" ht="18" x14ac:dyDescent="0.3">
      <c r="A435" s="384"/>
      <c r="B435" s="385"/>
      <c r="C435" s="386"/>
      <c r="D435" s="386"/>
      <c r="E435" s="387"/>
      <c r="F435" s="388"/>
    </row>
    <row r="436" spans="1:6" ht="18" x14ac:dyDescent="0.3">
      <c r="A436" s="427"/>
      <c r="B436" s="433"/>
      <c r="C436" s="381"/>
      <c r="D436" s="381"/>
      <c r="E436" s="382"/>
      <c r="F436" s="382"/>
    </row>
    <row r="437" spans="1:6" ht="13.8" x14ac:dyDescent="0.3">
      <c r="A437" s="220"/>
      <c r="B437" s="248"/>
      <c r="C437" s="186"/>
      <c r="D437" s="186"/>
      <c r="E437" s="331"/>
      <c r="F437" s="331"/>
    </row>
    <row r="438" spans="1:6" ht="13.8" x14ac:dyDescent="0.3">
      <c r="A438" s="358" t="s">
        <v>20</v>
      </c>
      <c r="B438" s="359" t="s">
        <v>1249</v>
      </c>
      <c r="C438" s="360"/>
      <c r="D438" s="360"/>
      <c r="E438" s="361"/>
      <c r="F438" s="362"/>
    </row>
    <row r="439" spans="1:6" ht="13.8" x14ac:dyDescent="0.3">
      <c r="A439" s="220"/>
      <c r="B439" s="248"/>
      <c r="C439" s="186"/>
      <c r="D439" s="186"/>
      <c r="E439" s="331"/>
      <c r="F439" s="331"/>
    </row>
    <row r="440" spans="1:6" ht="13.8" x14ac:dyDescent="0.3">
      <c r="A440" s="265" t="s">
        <v>1250</v>
      </c>
      <c r="B440" s="248"/>
      <c r="C440" s="249"/>
      <c r="D440" s="250"/>
      <c r="E440" s="284"/>
      <c r="F440" s="267"/>
    </row>
    <row r="441" spans="1:6" ht="101.4" customHeight="1" x14ac:dyDescent="0.3">
      <c r="A441" s="265"/>
      <c r="B441" s="248" t="s">
        <v>1251</v>
      </c>
      <c r="C441" s="249"/>
      <c r="D441" s="250"/>
      <c r="E441" s="284"/>
      <c r="F441" s="267"/>
    </row>
    <row r="442" spans="1:6" ht="13.8" x14ac:dyDescent="0.3">
      <c r="A442" s="265"/>
      <c r="B442" s="248"/>
      <c r="C442" s="249" t="s">
        <v>1053</v>
      </c>
      <c r="D442" s="250">
        <v>1</v>
      </c>
      <c r="E442" s="272"/>
      <c r="F442" s="273">
        <f>D442*E442</f>
        <v>0</v>
      </c>
    </row>
    <row r="443" spans="1:6" ht="41.4" x14ac:dyDescent="0.3">
      <c r="A443" s="265"/>
      <c r="B443" s="258" t="s">
        <v>1115</v>
      </c>
      <c r="C443" s="249"/>
      <c r="D443" s="250"/>
      <c r="E443" s="284"/>
      <c r="F443" s="267"/>
    </row>
    <row r="444" spans="1:6" ht="13.8" x14ac:dyDescent="0.3">
      <c r="A444" s="265"/>
      <c r="B444" s="248"/>
      <c r="C444" s="249"/>
      <c r="D444" s="250"/>
      <c r="E444" s="284"/>
      <c r="F444" s="267"/>
    </row>
    <row r="445" spans="1:6" ht="13.8" x14ac:dyDescent="0.3">
      <c r="A445" s="434" t="s">
        <v>1252</v>
      </c>
      <c r="B445" s="333"/>
      <c r="C445" s="435"/>
      <c r="D445" s="435"/>
      <c r="E445" s="334"/>
      <c r="F445" s="334"/>
    </row>
    <row r="446" spans="1:6" ht="13.8" x14ac:dyDescent="0.3">
      <c r="A446" s="300"/>
      <c r="B446" s="333" t="s">
        <v>1117</v>
      </c>
      <c r="C446" s="400"/>
      <c r="D446" s="400"/>
      <c r="E446" s="337"/>
      <c r="F446" s="338"/>
    </row>
    <row r="447" spans="1:6" ht="13.8" x14ac:dyDescent="0.3">
      <c r="A447" s="300"/>
      <c r="B447" s="333"/>
      <c r="C447" s="435" t="s">
        <v>1053</v>
      </c>
      <c r="D447" s="435">
        <v>1</v>
      </c>
      <c r="E447" s="272"/>
      <c r="F447" s="273">
        <f>D447*E447</f>
        <v>0</v>
      </c>
    </row>
    <row r="448" spans="1:6" ht="13.8" x14ac:dyDescent="0.3">
      <c r="A448" s="300"/>
      <c r="B448" s="333"/>
      <c r="C448" s="435"/>
      <c r="D448" s="435"/>
      <c r="E448" s="334"/>
      <c r="F448" s="334"/>
    </row>
    <row r="449" spans="1:6" ht="13.8" x14ac:dyDescent="0.3">
      <c r="A449" s="300" t="s">
        <v>1253</v>
      </c>
      <c r="B449" s="333"/>
      <c r="C449" s="435"/>
      <c r="D449" s="435"/>
      <c r="E449" s="334"/>
      <c r="F449" s="334"/>
    </row>
    <row r="450" spans="1:6" ht="27.6" x14ac:dyDescent="0.3">
      <c r="A450" s="300"/>
      <c r="B450" s="333" t="s">
        <v>1119</v>
      </c>
      <c r="C450" s="435"/>
      <c r="D450" s="435"/>
      <c r="E450" s="334"/>
      <c r="F450" s="334"/>
    </row>
    <row r="451" spans="1:6" ht="13.8" x14ac:dyDescent="0.3">
      <c r="A451" s="300"/>
      <c r="B451" s="333"/>
      <c r="C451" s="435" t="s">
        <v>1053</v>
      </c>
      <c r="D451" s="435">
        <v>1</v>
      </c>
      <c r="E451" s="272"/>
      <c r="F451" s="273">
        <f>D451*E451</f>
        <v>0</v>
      </c>
    </row>
    <row r="452" spans="1:6" ht="13.8" x14ac:dyDescent="0.3">
      <c r="A452" s="300"/>
      <c r="B452" s="333"/>
      <c r="C452" s="435"/>
      <c r="D452" s="435"/>
      <c r="E452" s="334"/>
      <c r="F452" s="334"/>
    </row>
    <row r="453" spans="1:6" ht="13.8" x14ac:dyDescent="0.3">
      <c r="A453" s="339" t="s">
        <v>1254</v>
      </c>
      <c r="B453" s="283"/>
      <c r="C453" s="250"/>
      <c r="D453" s="250"/>
      <c r="E453" s="331"/>
      <c r="F453" s="331"/>
    </row>
    <row r="454" spans="1:6" ht="27.6" x14ac:dyDescent="0.3">
      <c r="A454" s="339"/>
      <c r="B454" s="283" t="s">
        <v>1121</v>
      </c>
      <c r="C454" s="250"/>
      <c r="D454" s="250"/>
      <c r="E454" s="331"/>
      <c r="F454" s="331"/>
    </row>
    <row r="455" spans="1:6" ht="13.8" x14ac:dyDescent="0.3">
      <c r="A455" s="339"/>
      <c r="B455" s="340"/>
      <c r="C455" s="250" t="s">
        <v>1053</v>
      </c>
      <c r="D455" s="250">
        <v>1</v>
      </c>
      <c r="E455" s="272"/>
      <c r="F455" s="273">
        <f>D455*E455</f>
        <v>0</v>
      </c>
    </row>
    <row r="456" spans="1:6" ht="13.8" x14ac:dyDescent="0.3">
      <c r="A456" s="339"/>
      <c r="B456" s="340"/>
      <c r="C456" s="250"/>
      <c r="D456" s="250"/>
      <c r="E456" s="331"/>
      <c r="F456" s="338"/>
    </row>
    <row r="457" spans="1:6" ht="13.8" x14ac:dyDescent="0.3">
      <c r="A457" s="339" t="s">
        <v>1255</v>
      </c>
      <c r="B457" s="283"/>
      <c r="C457" s="250"/>
      <c r="D457" s="436"/>
      <c r="E457" s="341"/>
      <c r="F457" s="341"/>
    </row>
    <row r="458" spans="1:6" ht="27.6" x14ac:dyDescent="0.3">
      <c r="A458" s="339"/>
      <c r="B458" s="283" t="s">
        <v>1123</v>
      </c>
      <c r="C458" s="250"/>
      <c r="D458" s="436"/>
      <c r="E458" s="341"/>
      <c r="F458" s="341"/>
    </row>
    <row r="459" spans="1:6" ht="13.8" x14ac:dyDescent="0.3">
      <c r="A459" s="220"/>
      <c r="B459" s="248"/>
      <c r="C459" s="186" t="s">
        <v>1053</v>
      </c>
      <c r="D459" s="186">
        <v>1</v>
      </c>
      <c r="E459" s="272"/>
      <c r="F459" s="273">
        <f>D459*E459</f>
        <v>0</v>
      </c>
    </row>
    <row r="460" spans="1:6" ht="13.8" x14ac:dyDescent="0.3">
      <c r="A460" s="220"/>
      <c r="B460" s="248"/>
      <c r="C460" s="186"/>
      <c r="D460" s="186"/>
      <c r="E460" s="331"/>
      <c r="F460" s="331"/>
    </row>
    <row r="461" spans="1:6" ht="13.8" x14ac:dyDescent="0.3">
      <c r="A461" s="437" t="s">
        <v>1256</v>
      </c>
      <c r="B461" s="274"/>
      <c r="C461" s="438"/>
      <c r="D461" s="438"/>
      <c r="E461" s="320"/>
      <c r="F461" s="320"/>
    </row>
    <row r="462" spans="1:6" ht="27.6" x14ac:dyDescent="0.3">
      <c r="A462" s="437"/>
      <c r="B462" s="274" t="s">
        <v>1257</v>
      </c>
      <c r="C462" s="438"/>
      <c r="D462" s="438"/>
      <c r="E462" s="320"/>
      <c r="F462" s="320"/>
    </row>
    <row r="463" spans="1:6" ht="13.8" x14ac:dyDescent="0.3">
      <c r="A463" s="437"/>
      <c r="B463" s="439"/>
      <c r="C463" s="438" t="s">
        <v>1053</v>
      </c>
      <c r="D463" s="438">
        <v>1</v>
      </c>
      <c r="E463" s="272"/>
      <c r="F463" s="273">
        <f>D463*E463</f>
        <v>0</v>
      </c>
    </row>
    <row r="464" spans="1:6" ht="13.8" x14ac:dyDescent="0.3">
      <c r="A464" s="437"/>
      <c r="B464" s="439"/>
      <c r="C464" s="438" t="s">
        <v>416</v>
      </c>
      <c r="D464" s="438"/>
      <c r="E464" s="320"/>
      <c r="F464" s="320"/>
    </row>
    <row r="465" spans="1:6" ht="13.8" x14ac:dyDescent="0.3">
      <c r="A465" s="437" t="s">
        <v>1258</v>
      </c>
      <c r="B465" s="274"/>
      <c r="C465" s="438"/>
      <c r="D465" s="438"/>
      <c r="E465" s="320"/>
      <c r="F465" s="320"/>
    </row>
    <row r="466" spans="1:6" ht="71.400000000000006" customHeight="1" x14ac:dyDescent="0.3">
      <c r="A466" s="437"/>
      <c r="B466" s="418" t="s">
        <v>1259</v>
      </c>
      <c r="C466" s="438"/>
      <c r="D466" s="438"/>
      <c r="E466" s="320"/>
      <c r="F466" s="320"/>
    </row>
    <row r="467" spans="1:6" ht="13.8" x14ac:dyDescent="0.3">
      <c r="A467" s="437"/>
      <c r="B467" s="439"/>
      <c r="C467" s="438" t="s">
        <v>1053</v>
      </c>
      <c r="D467" s="438">
        <v>1</v>
      </c>
      <c r="E467" s="272"/>
      <c r="F467" s="273">
        <f>D467*E467</f>
        <v>0</v>
      </c>
    </row>
    <row r="468" spans="1:6" ht="13.8" x14ac:dyDescent="0.3">
      <c r="A468" s="220"/>
      <c r="B468" s="248"/>
      <c r="C468" s="186"/>
      <c r="D468" s="186"/>
      <c r="E468" s="331"/>
      <c r="F468" s="331"/>
    </row>
    <row r="469" spans="1:6" ht="69" x14ac:dyDescent="0.3">
      <c r="A469" s="265" t="s">
        <v>1260</v>
      </c>
      <c r="B469" s="248" t="s">
        <v>1261</v>
      </c>
      <c r="C469" s="249"/>
      <c r="D469" s="249"/>
      <c r="E469" s="320"/>
      <c r="F469" s="320"/>
    </row>
    <row r="470" spans="1:6" ht="13.8" x14ac:dyDescent="0.3">
      <c r="A470" s="265"/>
      <c r="B470" s="248"/>
      <c r="C470" s="249" t="s">
        <v>1053</v>
      </c>
      <c r="D470" s="249">
        <v>1</v>
      </c>
      <c r="E470" s="272"/>
      <c r="F470" s="273">
        <f>D470*E470</f>
        <v>0</v>
      </c>
    </row>
    <row r="471" spans="1:6" ht="55.2" x14ac:dyDescent="0.3">
      <c r="A471" s="265"/>
      <c r="B471" s="258" t="s">
        <v>1128</v>
      </c>
      <c r="C471" s="249"/>
      <c r="D471" s="249"/>
      <c r="E471" s="320"/>
      <c r="F471" s="320"/>
    </row>
    <row r="472" spans="1:6" ht="13.8" x14ac:dyDescent="0.3">
      <c r="A472" s="265"/>
      <c r="B472" s="248"/>
      <c r="C472" s="249"/>
      <c r="D472" s="249"/>
      <c r="E472" s="331"/>
      <c r="F472" s="331"/>
    </row>
    <row r="473" spans="1:6" ht="13.8" x14ac:dyDescent="0.3">
      <c r="A473" s="440" t="s">
        <v>1262</v>
      </c>
      <c r="B473" s="324"/>
      <c r="C473" s="441"/>
      <c r="D473" s="441"/>
      <c r="E473" s="327"/>
      <c r="F473" s="327"/>
    </row>
    <row r="474" spans="1:6" ht="41.4" x14ac:dyDescent="0.3">
      <c r="A474" s="323"/>
      <c r="B474" s="324" t="s">
        <v>1130</v>
      </c>
      <c r="C474" s="441"/>
      <c r="D474" s="441"/>
      <c r="E474" s="327"/>
      <c r="F474" s="327"/>
    </row>
    <row r="475" spans="1:6" ht="13.8" x14ac:dyDescent="0.3">
      <c r="A475" s="323"/>
      <c r="B475" s="324"/>
      <c r="C475" s="442" t="s">
        <v>1053</v>
      </c>
      <c r="D475" s="442">
        <v>1</v>
      </c>
      <c r="E475" s="272"/>
      <c r="F475" s="273">
        <f>D475*E475</f>
        <v>0</v>
      </c>
    </row>
    <row r="476" spans="1:6" ht="13.8" x14ac:dyDescent="0.3">
      <c r="A476" s="265"/>
      <c r="B476" s="248"/>
      <c r="C476" s="249"/>
      <c r="D476" s="250"/>
      <c r="E476" s="320"/>
      <c r="F476" s="346"/>
    </row>
    <row r="477" spans="1:6" ht="13.8" x14ac:dyDescent="0.3">
      <c r="A477" s="440" t="s">
        <v>1263</v>
      </c>
      <c r="B477" s="248"/>
      <c r="C477" s="250"/>
      <c r="D477" s="250"/>
      <c r="E477" s="281"/>
      <c r="F477" s="338"/>
    </row>
    <row r="478" spans="1:6" ht="69" x14ac:dyDescent="0.3">
      <c r="A478" s="220"/>
      <c r="B478" s="248" t="s">
        <v>1131</v>
      </c>
      <c r="C478" s="249"/>
      <c r="D478" s="250"/>
      <c r="E478" s="346"/>
      <c r="F478" s="346"/>
    </row>
    <row r="479" spans="1:6" ht="13.8" x14ac:dyDescent="0.3">
      <c r="A479" s="443"/>
      <c r="B479" s="444"/>
      <c r="C479" s="442" t="s">
        <v>1053</v>
      </c>
      <c r="D479" s="442">
        <v>1</v>
      </c>
      <c r="E479" s="272"/>
      <c r="F479" s="273">
        <f>D479*E479</f>
        <v>0</v>
      </c>
    </row>
    <row r="480" spans="1:6" ht="13.8" x14ac:dyDescent="0.3">
      <c r="A480" s="220"/>
      <c r="B480" s="248"/>
      <c r="C480" s="186"/>
      <c r="D480" s="186"/>
      <c r="E480" s="331"/>
      <c r="F480" s="331"/>
    </row>
    <row r="481" spans="1:6" ht="15.6" x14ac:dyDescent="0.3">
      <c r="A481" s="375" t="s">
        <v>20</v>
      </c>
      <c r="B481" s="425" t="s">
        <v>1112</v>
      </c>
      <c r="C481" s="426"/>
      <c r="D481" s="376"/>
      <c r="E481" s="377"/>
      <c r="F481" s="378"/>
    </row>
    <row r="482" spans="1:6" ht="15.6" x14ac:dyDescent="0.3">
      <c r="A482" s="379"/>
      <c r="B482" s="380"/>
      <c r="C482" s="381"/>
      <c r="D482" s="381"/>
      <c r="E482" s="382"/>
      <c r="F482" s="383"/>
    </row>
    <row r="483" spans="1:6" ht="31.2" x14ac:dyDescent="0.3">
      <c r="A483" s="379"/>
      <c r="B483" s="445" t="s">
        <v>1141</v>
      </c>
      <c r="C483" s="381"/>
      <c r="D483" s="381"/>
      <c r="E483" s="795">
        <f>SUM(F441:F479)</f>
        <v>0</v>
      </c>
      <c r="F483" s="796"/>
    </row>
    <row r="484" spans="1:6" ht="18" x14ac:dyDescent="0.3">
      <c r="A484" s="384"/>
      <c r="B484" s="385"/>
      <c r="C484" s="386"/>
      <c r="D484" s="386"/>
      <c r="E484" s="387"/>
      <c r="F484" s="388"/>
    </row>
    <row r="487" spans="1:6" ht="13.8" x14ac:dyDescent="0.3">
      <c r="A487" s="446" t="s">
        <v>618</v>
      </c>
      <c r="B487" s="261" t="s">
        <v>1264</v>
      </c>
      <c r="C487" s="262"/>
      <c r="D487" s="262"/>
      <c r="E487" s="447"/>
      <c r="F487" s="447"/>
    </row>
    <row r="488" spans="1:6" ht="13.8" x14ac:dyDescent="0.3">
      <c r="A488" s="247"/>
      <c r="B488" s="258"/>
      <c r="C488" s="250"/>
      <c r="D488" s="250"/>
      <c r="E488" s="315"/>
      <c r="F488" s="315"/>
    </row>
    <row r="489" spans="1:6" ht="27.6" x14ac:dyDescent="0.25">
      <c r="A489" s="311" t="s">
        <v>1135</v>
      </c>
      <c r="B489" s="782" t="s">
        <v>1045</v>
      </c>
      <c r="C489" s="782"/>
      <c r="D489" s="782"/>
      <c r="E489" s="782"/>
      <c r="F489" s="782"/>
    </row>
    <row r="490" spans="1:6" ht="13.8" x14ac:dyDescent="0.25">
      <c r="A490" s="220"/>
      <c r="B490" s="782" t="s">
        <v>1046</v>
      </c>
      <c r="C490" s="782"/>
      <c r="D490" s="782"/>
      <c r="E490" s="782"/>
      <c r="F490" s="782"/>
    </row>
    <row r="491" spans="1:6" ht="13.8" x14ac:dyDescent="0.25">
      <c r="A491" s="220"/>
      <c r="B491" s="782" t="s">
        <v>1047</v>
      </c>
      <c r="C491" s="782"/>
      <c r="D491" s="782"/>
      <c r="E491" s="782"/>
      <c r="F491" s="782"/>
    </row>
    <row r="492" spans="1:6" ht="13.8" x14ac:dyDescent="0.3">
      <c r="A492" s="247"/>
      <c r="B492" s="258"/>
      <c r="C492" s="250"/>
      <c r="D492" s="250"/>
      <c r="E492" s="315"/>
      <c r="F492" s="315"/>
    </row>
    <row r="493" spans="1:6" ht="13.8" x14ac:dyDescent="0.3">
      <c r="A493" s="358" t="s">
        <v>23</v>
      </c>
      <c r="B493" s="359" t="s">
        <v>1265</v>
      </c>
      <c r="C493" s="360"/>
      <c r="D493" s="360"/>
      <c r="E493" s="361"/>
      <c r="F493" s="362"/>
    </row>
    <row r="494" spans="1:6" ht="13.8" x14ac:dyDescent="0.3">
      <c r="A494" s="363"/>
      <c r="B494" s="274"/>
      <c r="C494" s="344"/>
      <c r="D494" s="344"/>
      <c r="E494" s="357"/>
      <c r="F494" s="357"/>
    </row>
    <row r="495" spans="1:6" ht="27.6" x14ac:dyDescent="0.25">
      <c r="A495" s="427" t="s">
        <v>1135</v>
      </c>
      <c r="B495" s="790" t="s">
        <v>1144</v>
      </c>
      <c r="C495" s="790"/>
      <c r="D495" s="790"/>
      <c r="E495" s="790"/>
      <c r="F495" s="790"/>
    </row>
    <row r="496" spans="1:6" ht="27.6" x14ac:dyDescent="0.25">
      <c r="A496" s="427"/>
      <c r="B496" s="365" t="s">
        <v>1266</v>
      </c>
      <c r="C496" s="427"/>
      <c r="D496" s="427"/>
      <c r="E496" s="328"/>
      <c r="F496" s="328"/>
    </row>
    <row r="497" spans="1:6" ht="13.8" x14ac:dyDescent="0.25">
      <c r="A497" s="427"/>
      <c r="B497" s="365"/>
      <c r="C497" s="427"/>
      <c r="D497" s="427"/>
      <c r="E497" s="328"/>
      <c r="F497" s="328"/>
    </row>
    <row r="498" spans="1:6" ht="13.8" x14ac:dyDescent="0.25">
      <c r="A498" s="427" t="s">
        <v>1267</v>
      </c>
      <c r="B498" s="365" t="s">
        <v>1268</v>
      </c>
      <c r="C498" s="427"/>
      <c r="D498" s="427"/>
      <c r="E498" s="328"/>
      <c r="F498" s="328"/>
    </row>
    <row r="499" spans="1:6" ht="13.8" x14ac:dyDescent="0.25">
      <c r="A499" s="427"/>
      <c r="B499" s="365"/>
      <c r="C499" s="427"/>
      <c r="D499" s="427"/>
      <c r="E499" s="328"/>
      <c r="F499" s="328"/>
    </row>
    <row r="500" spans="1:6" ht="13.8" x14ac:dyDescent="0.25">
      <c r="A500" s="427"/>
      <c r="B500" s="365"/>
      <c r="C500" s="427"/>
      <c r="D500" s="427"/>
      <c r="E500" s="428"/>
      <c r="F500" s="428"/>
    </row>
    <row r="501" spans="1:6" ht="13.8" x14ac:dyDescent="0.3">
      <c r="A501" s="448"/>
      <c r="B501" s="449" t="s">
        <v>1269</v>
      </c>
      <c r="C501" s="450"/>
      <c r="D501" s="451"/>
      <c r="E501" s="444"/>
      <c r="F501" s="444"/>
    </row>
    <row r="502" spans="1:6" ht="13.8" x14ac:dyDescent="0.3">
      <c r="A502" s="448" t="s">
        <v>1270</v>
      </c>
      <c r="B502" s="452" t="s">
        <v>1271</v>
      </c>
      <c r="C502" s="448" t="s">
        <v>632</v>
      </c>
      <c r="D502" s="453">
        <v>15</v>
      </c>
      <c r="E502" s="272"/>
      <c r="F502" s="273">
        <f>D502*E502</f>
        <v>0</v>
      </c>
    </row>
    <row r="503" spans="1:6" ht="13.8" x14ac:dyDescent="0.3">
      <c r="A503" s="448">
        <v>2</v>
      </c>
      <c r="B503" s="452" t="s">
        <v>1272</v>
      </c>
      <c r="C503" s="448" t="s">
        <v>632</v>
      </c>
      <c r="D503" s="453">
        <v>25</v>
      </c>
      <c r="E503" s="272"/>
      <c r="F503" s="273">
        <f>D503*E503</f>
        <v>0</v>
      </c>
    </row>
    <row r="504" spans="1:6" ht="13.8" x14ac:dyDescent="0.25">
      <c r="A504" s="448"/>
      <c r="B504" s="452"/>
      <c r="C504" s="448"/>
      <c r="D504" s="453"/>
      <c r="E504" s="444"/>
      <c r="F504" s="444"/>
    </row>
    <row r="505" spans="1:6" ht="13.8" x14ac:dyDescent="0.25">
      <c r="A505" s="448"/>
      <c r="B505" s="449" t="s">
        <v>1273</v>
      </c>
      <c r="C505" s="448"/>
      <c r="D505" s="453"/>
      <c r="E505" s="444"/>
      <c r="F505" s="444"/>
    </row>
    <row r="506" spans="1:6" ht="13.8" x14ac:dyDescent="0.3">
      <c r="A506" s="448">
        <v>3</v>
      </c>
      <c r="B506" s="452" t="s">
        <v>1274</v>
      </c>
      <c r="C506" s="448" t="s">
        <v>867</v>
      </c>
      <c r="D506" s="453">
        <v>15</v>
      </c>
      <c r="E506" s="272"/>
      <c r="F506" s="273">
        <f>D506*E506</f>
        <v>0</v>
      </c>
    </row>
    <row r="507" spans="1:6" ht="13.8" x14ac:dyDescent="0.3">
      <c r="A507" s="448">
        <v>4</v>
      </c>
      <c r="B507" s="452" t="s">
        <v>1275</v>
      </c>
      <c r="C507" s="448" t="s">
        <v>867</v>
      </c>
      <c r="D507" s="453">
        <v>5</v>
      </c>
      <c r="E507" s="272"/>
      <c r="F507" s="273">
        <f>D507*E507</f>
        <v>0</v>
      </c>
    </row>
    <row r="508" spans="1:6" ht="13.8" x14ac:dyDescent="0.25">
      <c r="A508" s="448"/>
      <c r="B508" s="452"/>
      <c r="C508" s="448"/>
      <c r="D508" s="453"/>
      <c r="E508" s="444"/>
      <c r="F508" s="444"/>
    </row>
    <row r="509" spans="1:6" ht="13.8" x14ac:dyDescent="0.25">
      <c r="A509" s="448"/>
      <c r="B509" s="449" t="s">
        <v>1276</v>
      </c>
      <c r="C509" s="448"/>
      <c r="D509" s="453"/>
      <c r="E509" s="444"/>
      <c r="F509" s="444"/>
    </row>
    <row r="510" spans="1:6" ht="13.8" x14ac:dyDescent="0.3">
      <c r="A510" s="448">
        <v>5</v>
      </c>
      <c r="B510" s="452" t="s">
        <v>1277</v>
      </c>
      <c r="C510" s="448" t="s">
        <v>867</v>
      </c>
      <c r="D510" s="453">
        <v>10</v>
      </c>
      <c r="E510" s="272"/>
      <c r="F510" s="273">
        <f>D510*E510</f>
        <v>0</v>
      </c>
    </row>
    <row r="511" spans="1:6" ht="13.8" x14ac:dyDescent="0.3">
      <c r="A511" s="448">
        <v>6</v>
      </c>
      <c r="B511" s="452" t="s">
        <v>1278</v>
      </c>
      <c r="C511" s="448" t="s">
        <v>867</v>
      </c>
      <c r="D511" s="453">
        <v>2</v>
      </c>
      <c r="E511" s="272"/>
      <c r="F511" s="273">
        <f>D511*E511</f>
        <v>0</v>
      </c>
    </row>
    <row r="512" spans="1:6" ht="13.8" x14ac:dyDescent="0.3">
      <c r="A512" s="448">
        <v>7</v>
      </c>
      <c r="B512" s="452" t="s">
        <v>1279</v>
      </c>
      <c r="C512" s="448" t="s">
        <v>867</v>
      </c>
      <c r="D512" s="453">
        <v>2</v>
      </c>
      <c r="E512" s="272"/>
      <c r="F512" s="273">
        <f>D512*E512</f>
        <v>0</v>
      </c>
    </row>
    <row r="513" spans="1:6" ht="13.8" x14ac:dyDescent="0.3">
      <c r="A513" s="448">
        <v>8</v>
      </c>
      <c r="B513" s="452" t="s">
        <v>1280</v>
      </c>
      <c r="C513" s="448" t="s">
        <v>867</v>
      </c>
      <c r="D513" s="453">
        <v>2</v>
      </c>
      <c r="E513" s="272"/>
      <c r="F513" s="273">
        <f>D513*E513</f>
        <v>0</v>
      </c>
    </row>
    <row r="514" spans="1:6" ht="13.8" x14ac:dyDescent="0.3">
      <c r="A514" s="448">
        <v>9</v>
      </c>
      <c r="B514" s="452" t="s">
        <v>1281</v>
      </c>
      <c r="C514" s="448" t="s">
        <v>867</v>
      </c>
      <c r="D514" s="453">
        <v>1</v>
      </c>
      <c r="E514" s="272"/>
      <c r="F514" s="273">
        <f>D514*E514</f>
        <v>0</v>
      </c>
    </row>
    <row r="515" spans="1:6" ht="13.8" x14ac:dyDescent="0.25">
      <c r="A515" s="448"/>
      <c r="B515" s="452"/>
      <c r="C515" s="448"/>
      <c r="D515" s="453"/>
      <c r="E515" s="444"/>
      <c r="F515" s="444"/>
    </row>
    <row r="516" spans="1:6" ht="13.8" x14ac:dyDescent="0.25">
      <c r="A516" s="448"/>
      <c r="B516" s="449" t="s">
        <v>1282</v>
      </c>
      <c r="C516" s="448"/>
      <c r="D516" s="453"/>
      <c r="E516" s="444"/>
      <c r="F516" s="444"/>
    </row>
    <row r="517" spans="1:6" ht="13.8" x14ac:dyDescent="0.3">
      <c r="A517" s="448">
        <v>10</v>
      </c>
      <c r="B517" s="452" t="s">
        <v>1283</v>
      </c>
      <c r="C517" s="448" t="s">
        <v>867</v>
      </c>
      <c r="D517" s="453">
        <v>20</v>
      </c>
      <c r="E517" s="272"/>
      <c r="F517" s="273">
        <f>D517*E517</f>
        <v>0</v>
      </c>
    </row>
    <row r="518" spans="1:6" ht="13.8" x14ac:dyDescent="0.3">
      <c r="A518" s="448">
        <v>11</v>
      </c>
      <c r="B518" s="452" t="s">
        <v>1284</v>
      </c>
      <c r="C518" s="448" t="s">
        <v>867</v>
      </c>
      <c r="D518" s="453">
        <v>6</v>
      </c>
      <c r="E518" s="272"/>
      <c r="F518" s="273">
        <f>D518*E518</f>
        <v>0</v>
      </c>
    </row>
    <row r="519" spans="1:6" ht="13.8" x14ac:dyDescent="0.25">
      <c r="A519" s="448"/>
      <c r="B519" s="452"/>
      <c r="C519" s="448"/>
      <c r="D519" s="453"/>
      <c r="E519" s="444"/>
      <c r="F519" s="444"/>
    </row>
    <row r="520" spans="1:6" ht="13.8" x14ac:dyDescent="0.25">
      <c r="A520" s="448"/>
      <c r="B520" s="449" t="s">
        <v>1285</v>
      </c>
      <c r="C520" s="448"/>
      <c r="D520" s="453"/>
      <c r="E520" s="444"/>
      <c r="F520" s="444"/>
    </row>
    <row r="521" spans="1:6" ht="13.8" x14ac:dyDescent="0.3">
      <c r="A521" s="448">
        <v>12</v>
      </c>
      <c r="B521" s="452" t="s">
        <v>1286</v>
      </c>
      <c r="C521" s="448" t="s">
        <v>867</v>
      </c>
      <c r="D521" s="453">
        <v>4</v>
      </c>
      <c r="E521" s="272"/>
      <c r="F521" s="273">
        <f t="shared" ref="F521:F524" si="3">D521*E521</f>
        <v>0</v>
      </c>
    </row>
    <row r="522" spans="1:6" ht="13.8" x14ac:dyDescent="0.3">
      <c r="A522" s="448">
        <v>13</v>
      </c>
      <c r="B522" s="452" t="s">
        <v>1287</v>
      </c>
      <c r="C522" s="448" t="s">
        <v>867</v>
      </c>
      <c r="D522" s="453">
        <v>4</v>
      </c>
      <c r="E522" s="272"/>
      <c r="F522" s="273">
        <f t="shared" si="3"/>
        <v>0</v>
      </c>
    </row>
    <row r="523" spans="1:6" ht="13.8" x14ac:dyDescent="0.3">
      <c r="A523" s="448">
        <v>14</v>
      </c>
      <c r="B523" s="452" t="s">
        <v>1288</v>
      </c>
      <c r="C523" s="448" t="s">
        <v>867</v>
      </c>
      <c r="D523" s="453">
        <v>4</v>
      </c>
      <c r="E523" s="272"/>
      <c r="F523" s="273">
        <f t="shared" si="3"/>
        <v>0</v>
      </c>
    </row>
    <row r="524" spans="1:6" ht="13.8" x14ac:dyDescent="0.3">
      <c r="A524" s="448">
        <v>15</v>
      </c>
      <c r="B524" s="452" t="s">
        <v>1289</v>
      </c>
      <c r="C524" s="448" t="s">
        <v>867</v>
      </c>
      <c r="D524" s="453">
        <v>4</v>
      </c>
      <c r="E524" s="272"/>
      <c r="F524" s="273">
        <f t="shared" si="3"/>
        <v>0</v>
      </c>
    </row>
    <row r="525" spans="1:6" ht="13.8" x14ac:dyDescent="0.3">
      <c r="A525" s="364"/>
      <c r="B525" s="365"/>
      <c r="C525" s="427"/>
      <c r="D525" s="427"/>
      <c r="E525" s="328"/>
      <c r="F525" s="270"/>
    </row>
    <row r="526" spans="1:6" ht="13.8" x14ac:dyDescent="0.25">
      <c r="A526" s="454"/>
      <c r="B526" s="455"/>
      <c r="C526" s="456"/>
      <c r="D526" s="454"/>
      <c r="E526" s="457"/>
      <c r="F526" s="457"/>
    </row>
    <row r="527" spans="1:6" ht="31.2" x14ac:dyDescent="0.25">
      <c r="A527" s="375" t="s">
        <v>23</v>
      </c>
      <c r="B527" s="425" t="s">
        <v>1265</v>
      </c>
      <c r="C527" s="458"/>
      <c r="D527" s="459"/>
      <c r="E527" s="377"/>
      <c r="F527" s="378"/>
    </row>
    <row r="528" spans="1:6" ht="15.6" x14ac:dyDescent="0.25">
      <c r="A528" s="379"/>
      <c r="B528" s="380"/>
      <c r="C528" s="364"/>
      <c r="D528" s="364"/>
      <c r="E528" s="382"/>
      <c r="F528" s="383"/>
    </row>
    <row r="529" spans="1:7" ht="18" x14ac:dyDescent="0.25">
      <c r="A529" s="379"/>
      <c r="B529" s="445" t="s">
        <v>15</v>
      </c>
      <c r="C529" s="364"/>
      <c r="D529" s="364"/>
      <c r="E529" s="460"/>
      <c r="F529" s="461">
        <f>SUM(F502:F528)</f>
        <v>0</v>
      </c>
    </row>
    <row r="530" spans="1:7" ht="18" x14ac:dyDescent="0.25">
      <c r="A530" s="384"/>
      <c r="B530" s="385"/>
      <c r="C530" s="462"/>
      <c r="D530" s="462"/>
      <c r="E530" s="387"/>
      <c r="F530" s="388"/>
    </row>
    <row r="531" spans="1:7" ht="13.8" x14ac:dyDescent="0.3">
      <c r="A531" s="265"/>
      <c r="B531" s="248"/>
      <c r="C531" s="249"/>
      <c r="D531" s="249"/>
      <c r="E531" s="356"/>
      <c r="F531" s="357"/>
    </row>
    <row r="532" spans="1:7" ht="18" x14ac:dyDescent="0.3">
      <c r="A532" s="463"/>
      <c r="B532" s="464"/>
      <c r="C532" s="329"/>
      <c r="D532" s="329"/>
      <c r="E532" s="320"/>
      <c r="F532" s="320"/>
    </row>
    <row r="533" spans="1:7" ht="13.8" x14ac:dyDescent="0.3">
      <c r="A533" s="465" t="s">
        <v>24</v>
      </c>
      <c r="B533" s="359" t="s">
        <v>1290</v>
      </c>
      <c r="C533" s="360"/>
      <c r="D533" s="360"/>
      <c r="E533" s="361"/>
      <c r="F533" s="362"/>
    </row>
    <row r="534" spans="1:7" ht="13.8" x14ac:dyDescent="0.3">
      <c r="A534" s="466"/>
      <c r="B534" s="268"/>
      <c r="C534" s="329"/>
      <c r="D534" s="329"/>
      <c r="E534" s="467"/>
      <c r="F534" s="467"/>
    </row>
    <row r="535" spans="1:7" ht="27.6" x14ac:dyDescent="0.25">
      <c r="A535" s="427" t="s">
        <v>1135</v>
      </c>
      <c r="B535" s="790" t="s">
        <v>1291</v>
      </c>
      <c r="C535" s="790"/>
      <c r="D535" s="790"/>
      <c r="E535" s="790"/>
      <c r="F535" s="790"/>
    </row>
    <row r="536" spans="1:7" ht="13.8" x14ac:dyDescent="0.25">
      <c r="A536" s="427"/>
      <c r="B536" s="328"/>
      <c r="C536" s="328"/>
      <c r="D536" s="328"/>
      <c r="E536" s="328"/>
      <c r="F536" s="328"/>
    </row>
    <row r="537" spans="1:7" ht="13.8" x14ac:dyDescent="0.25">
      <c r="A537" s="427"/>
      <c r="B537" s="328"/>
      <c r="C537" s="328"/>
      <c r="D537" s="328"/>
      <c r="E537" s="328"/>
      <c r="F537" s="328"/>
    </row>
    <row r="538" spans="1:7" ht="13.8" x14ac:dyDescent="0.25">
      <c r="A538" s="427"/>
      <c r="B538" s="328"/>
      <c r="C538" s="328"/>
      <c r="D538" s="328"/>
      <c r="E538" s="328"/>
      <c r="F538" s="328"/>
    </row>
    <row r="539" spans="1:7" ht="13.8" x14ac:dyDescent="0.25">
      <c r="A539" s="468" t="s">
        <v>1292</v>
      </c>
      <c r="B539" s="274"/>
      <c r="C539" s="469"/>
      <c r="D539" s="469"/>
      <c r="E539" s="470"/>
      <c r="F539" s="320"/>
    </row>
    <row r="540" spans="1:7" ht="73.2" customHeight="1" x14ac:dyDescent="0.25">
      <c r="A540" s="437"/>
      <c r="B540" s="283" t="s">
        <v>1807</v>
      </c>
      <c r="C540" s="469"/>
      <c r="D540" s="469"/>
      <c r="E540" s="470"/>
      <c r="F540" s="320"/>
      <c r="G540" s="804"/>
    </row>
    <row r="541" spans="1:7" ht="326.39999999999998" customHeight="1" x14ac:dyDescent="0.25">
      <c r="A541" s="437"/>
      <c r="B541" s="283" t="s">
        <v>1808</v>
      </c>
      <c r="C541" s="469"/>
      <c r="D541" s="469"/>
      <c r="E541" s="470"/>
      <c r="F541" s="320"/>
      <c r="G541" s="804"/>
    </row>
    <row r="542" spans="1:7" ht="82.8" x14ac:dyDescent="0.25">
      <c r="A542" s="437"/>
      <c r="B542" s="274" t="s">
        <v>1293</v>
      </c>
      <c r="C542" s="469"/>
      <c r="D542" s="469"/>
      <c r="E542" s="470"/>
      <c r="F542" s="320"/>
      <c r="G542" s="804"/>
    </row>
    <row r="543" spans="1:7" ht="13.8" x14ac:dyDescent="0.25">
      <c r="A543" s="437"/>
      <c r="B543" s="274"/>
      <c r="C543" s="469"/>
      <c r="D543" s="469"/>
      <c r="E543" s="470"/>
      <c r="F543" s="320"/>
    </row>
    <row r="544" spans="1:7" ht="13.8" x14ac:dyDescent="0.25">
      <c r="A544" s="437"/>
      <c r="B544" s="274" t="s">
        <v>1294</v>
      </c>
      <c r="C544" s="469"/>
      <c r="D544" s="469"/>
      <c r="E544" s="470"/>
      <c r="F544" s="320"/>
    </row>
    <row r="545" spans="1:6" ht="27.6" x14ac:dyDescent="0.25">
      <c r="A545" s="437"/>
      <c r="B545" s="274" t="s">
        <v>1295</v>
      </c>
      <c r="C545" s="469"/>
      <c r="D545" s="469"/>
      <c r="E545" s="470"/>
      <c r="F545" s="471"/>
    </row>
    <row r="546" spans="1:6" ht="13.8" x14ac:dyDescent="0.25">
      <c r="A546" s="437"/>
      <c r="B546" s="274"/>
      <c r="C546" s="469"/>
      <c r="D546" s="469"/>
      <c r="E546" s="470"/>
      <c r="F546" s="471"/>
    </row>
    <row r="547" spans="1:6" ht="41.4" x14ac:dyDescent="0.25">
      <c r="A547" s="265"/>
      <c r="B547" s="248" t="s">
        <v>1296</v>
      </c>
      <c r="C547" s="266"/>
      <c r="D547" s="266"/>
      <c r="E547" s="281"/>
      <c r="F547" s="281"/>
    </row>
    <row r="548" spans="1:6" ht="13.8" x14ac:dyDescent="0.25">
      <c r="A548" s="265"/>
      <c r="B548" s="248"/>
      <c r="C548" s="266"/>
      <c r="D548" s="266"/>
      <c r="E548" s="281"/>
      <c r="F548" s="281"/>
    </row>
    <row r="549" spans="1:6" ht="13.8" x14ac:dyDescent="0.25">
      <c r="A549" s="265"/>
      <c r="B549" s="248" t="s">
        <v>1294</v>
      </c>
      <c r="C549" s="266"/>
      <c r="D549" s="266"/>
      <c r="E549" s="281"/>
      <c r="F549" s="281"/>
    </row>
    <row r="550" spans="1:6" ht="13.8" x14ac:dyDescent="0.25">
      <c r="A550" s="265"/>
      <c r="B550" s="472"/>
      <c r="C550" s="266"/>
      <c r="D550" s="266"/>
      <c r="E550" s="281"/>
      <c r="F550" s="281"/>
    </row>
    <row r="551" spans="1:6" ht="27.6" x14ac:dyDescent="0.25">
      <c r="A551" s="265"/>
      <c r="B551" s="248" t="s">
        <v>1297</v>
      </c>
      <c r="C551" s="266"/>
      <c r="D551" s="266"/>
      <c r="E551" s="281"/>
      <c r="F551" s="281"/>
    </row>
    <row r="552" spans="1:6" ht="27.6" x14ac:dyDescent="0.25">
      <c r="A552" s="265"/>
      <c r="B552" s="248" t="s">
        <v>1298</v>
      </c>
      <c r="C552" s="266"/>
      <c r="D552" s="266"/>
      <c r="E552" s="281"/>
      <c r="F552" s="281"/>
    </row>
    <row r="553" spans="1:6" ht="27.6" x14ac:dyDescent="0.25">
      <c r="A553" s="265"/>
      <c r="B553" s="248" t="s">
        <v>1295</v>
      </c>
      <c r="C553" s="266"/>
      <c r="D553" s="266"/>
      <c r="E553" s="281"/>
      <c r="F553" s="267"/>
    </row>
    <row r="554" spans="1:6" ht="13.8" x14ac:dyDescent="0.25">
      <c r="A554" s="265"/>
      <c r="B554" s="248"/>
      <c r="C554" s="266"/>
      <c r="D554" s="266"/>
      <c r="E554" s="281"/>
      <c r="F554" s="267"/>
    </row>
    <row r="555" spans="1:6" ht="13.8" x14ac:dyDescent="0.25">
      <c r="A555" s="473"/>
      <c r="B555" s="449" t="s">
        <v>1299</v>
      </c>
      <c r="C555" s="474"/>
      <c r="D555" s="475"/>
      <c r="E555" s="476"/>
      <c r="F555" s="477"/>
    </row>
    <row r="556" spans="1:6" ht="13.8" x14ac:dyDescent="0.3">
      <c r="A556" s="453">
        <v>1</v>
      </c>
      <c r="B556" s="452" t="s">
        <v>1300</v>
      </c>
      <c r="C556" s="444"/>
      <c r="D556" s="478">
        <v>1</v>
      </c>
      <c r="E556" s="272"/>
      <c r="F556" s="273">
        <f t="shared" ref="F556:F558" si="4">D556*E556</f>
        <v>0</v>
      </c>
    </row>
    <row r="557" spans="1:6" ht="13.8" x14ac:dyDescent="0.3">
      <c r="A557" s="453">
        <v>2</v>
      </c>
      <c r="B557" s="452" t="s">
        <v>1301</v>
      </c>
      <c r="C557" s="444"/>
      <c r="D557" s="478">
        <v>1</v>
      </c>
      <c r="E557" s="272"/>
      <c r="F557" s="273">
        <f t="shared" si="4"/>
        <v>0</v>
      </c>
    </row>
    <row r="558" spans="1:6" ht="13.8" x14ac:dyDescent="0.3">
      <c r="A558" s="453">
        <v>3</v>
      </c>
      <c r="B558" s="452" t="s">
        <v>1302</v>
      </c>
      <c r="C558" s="444"/>
      <c r="D558" s="478">
        <v>2</v>
      </c>
      <c r="E558" s="272"/>
      <c r="F558" s="273">
        <f t="shared" si="4"/>
        <v>0</v>
      </c>
    </row>
    <row r="559" spans="1:6" ht="13.8" x14ac:dyDescent="0.25">
      <c r="A559" s="473"/>
      <c r="B559" s="449"/>
      <c r="C559" s="474"/>
      <c r="D559" s="475"/>
      <c r="E559" s="476"/>
      <c r="F559" s="477"/>
    </row>
    <row r="560" spans="1:6" ht="13.8" x14ac:dyDescent="0.25">
      <c r="A560" s="473"/>
      <c r="B560" s="449"/>
      <c r="C560" s="474"/>
      <c r="D560" s="475"/>
      <c r="E560" s="476"/>
      <c r="F560" s="477"/>
    </row>
    <row r="561" spans="1:7" ht="13.8" x14ac:dyDescent="0.25">
      <c r="A561" s="473"/>
      <c r="B561" s="449" t="s">
        <v>1303</v>
      </c>
      <c r="C561" s="474"/>
      <c r="D561" s="475"/>
      <c r="E561" s="476"/>
      <c r="F561" s="477"/>
    </row>
    <row r="562" spans="1:7" ht="82.8" x14ac:dyDescent="0.3">
      <c r="A562" s="473" t="s">
        <v>1304</v>
      </c>
      <c r="B562" s="514" t="s">
        <v>1809</v>
      </c>
      <c r="C562" s="480" t="s">
        <v>867</v>
      </c>
      <c r="D562" s="481">
        <v>4</v>
      </c>
      <c r="E562" s="272"/>
      <c r="F562" s="273">
        <f>D562*E562</f>
        <v>0</v>
      </c>
      <c r="G562" s="693"/>
    </row>
    <row r="563" spans="1:7" ht="13.8" x14ac:dyDescent="0.25">
      <c r="A563" s="437"/>
      <c r="B563" s="482"/>
      <c r="C563" s="469"/>
      <c r="D563" s="469"/>
      <c r="E563" s="470"/>
      <c r="F563" s="320"/>
    </row>
    <row r="564" spans="1:7" ht="13.8" x14ac:dyDescent="0.25">
      <c r="A564" s="437"/>
      <c r="B564" s="482"/>
      <c r="C564" s="469"/>
      <c r="D564" s="469"/>
      <c r="E564" s="470"/>
      <c r="F564" s="320"/>
    </row>
    <row r="565" spans="1:7" ht="13.8" x14ac:dyDescent="0.25">
      <c r="A565" s="437" t="s">
        <v>1305</v>
      </c>
      <c r="B565" s="274"/>
      <c r="C565" s="343"/>
      <c r="D565" s="343"/>
      <c r="E565" s="320"/>
      <c r="F565" s="320"/>
    </row>
    <row r="566" spans="1:7" ht="27.6" x14ac:dyDescent="0.25">
      <c r="A566" s="437"/>
      <c r="B566" s="274" t="s">
        <v>1306</v>
      </c>
      <c r="C566" s="343"/>
      <c r="D566" s="343"/>
      <c r="E566" s="320"/>
      <c r="F566" s="320"/>
    </row>
    <row r="567" spans="1:7" ht="13.8" x14ac:dyDescent="0.25">
      <c r="A567" s="437"/>
      <c r="B567" s="274"/>
      <c r="C567" s="343"/>
      <c r="D567" s="343"/>
      <c r="E567" s="320"/>
      <c r="F567" s="320"/>
    </row>
    <row r="568" spans="1:7" ht="13.8" x14ac:dyDescent="0.3">
      <c r="A568" s="437"/>
      <c r="B568" s="274" t="s">
        <v>1307</v>
      </c>
      <c r="C568" s="343" t="s">
        <v>867</v>
      </c>
      <c r="D568" s="475">
        <v>4</v>
      </c>
      <c r="E568" s="272"/>
      <c r="F568" s="273">
        <f>D568*E568</f>
        <v>0</v>
      </c>
    </row>
    <row r="569" spans="1:7" ht="13.8" x14ac:dyDescent="0.25">
      <c r="A569" s="437"/>
      <c r="B569" s="439"/>
      <c r="C569" s="343"/>
      <c r="D569" s="343"/>
      <c r="E569" s="320"/>
      <c r="F569" s="320"/>
    </row>
    <row r="570" spans="1:7" ht="13.8" x14ac:dyDescent="0.25">
      <c r="A570" s="437" t="s">
        <v>1308</v>
      </c>
      <c r="B570" s="274"/>
      <c r="C570" s="343"/>
      <c r="D570" s="343"/>
      <c r="E570" s="320"/>
      <c r="F570" s="320"/>
    </row>
    <row r="571" spans="1:7" ht="13.8" x14ac:dyDescent="0.25">
      <c r="A571" s="437"/>
      <c r="B571" s="274" t="s">
        <v>1309</v>
      </c>
      <c r="C571" s="343"/>
      <c r="D571" s="343"/>
      <c r="E571" s="320"/>
      <c r="F571" s="320"/>
    </row>
    <row r="572" spans="1:7" ht="13.8" x14ac:dyDescent="0.25">
      <c r="A572" s="437"/>
      <c r="B572" s="274"/>
      <c r="C572" s="343"/>
      <c r="D572" s="343"/>
      <c r="E572" s="320"/>
      <c r="F572" s="320"/>
    </row>
    <row r="573" spans="1:7" ht="13.8" x14ac:dyDescent="0.3">
      <c r="A573" s="437"/>
      <c r="B573" s="274" t="s">
        <v>1307</v>
      </c>
      <c r="C573" s="343" t="s">
        <v>867</v>
      </c>
      <c r="D573" s="475">
        <v>4</v>
      </c>
      <c r="E573" s="272"/>
      <c r="F573" s="273">
        <f>D573*E573</f>
        <v>0</v>
      </c>
    </row>
    <row r="574" spans="1:7" ht="13.8" x14ac:dyDescent="0.25">
      <c r="A574" s="437"/>
      <c r="B574" s="439"/>
      <c r="C574" s="343"/>
      <c r="D574" s="343"/>
      <c r="E574" s="320"/>
      <c r="F574" s="320"/>
    </row>
    <row r="575" spans="1:7" ht="13.8" x14ac:dyDescent="0.25">
      <c r="A575" s="437" t="s">
        <v>1310</v>
      </c>
      <c r="B575" s="274"/>
      <c r="C575" s="343"/>
      <c r="D575" s="343"/>
      <c r="E575" s="320"/>
      <c r="F575" s="320"/>
    </row>
    <row r="576" spans="1:7" ht="13.8" x14ac:dyDescent="0.25">
      <c r="A576" s="437"/>
      <c r="B576" s="274" t="s">
        <v>1311</v>
      </c>
      <c r="C576" s="343"/>
      <c r="D576" s="343"/>
      <c r="E576" s="320"/>
      <c r="F576" s="320"/>
    </row>
    <row r="577" spans="1:6" ht="13.8" x14ac:dyDescent="0.3">
      <c r="A577" s="437"/>
      <c r="B577" s="274"/>
      <c r="C577" s="329"/>
      <c r="D577" s="329"/>
      <c r="E577" s="320"/>
      <c r="F577" s="320"/>
    </row>
    <row r="578" spans="1:6" ht="13.8" x14ac:dyDescent="0.3">
      <c r="A578" s="437"/>
      <c r="B578" s="274" t="s">
        <v>1307</v>
      </c>
      <c r="C578" s="343" t="s">
        <v>867</v>
      </c>
      <c r="D578" s="475">
        <v>4</v>
      </c>
      <c r="E578" s="272"/>
      <c r="F578" s="273">
        <f>D578*E578</f>
        <v>0</v>
      </c>
    </row>
    <row r="579" spans="1:6" ht="13.8" x14ac:dyDescent="0.25">
      <c r="A579" s="437"/>
      <c r="B579" s="439"/>
      <c r="C579" s="343"/>
      <c r="D579" s="343"/>
      <c r="E579" s="320"/>
      <c r="F579" s="320"/>
    </row>
    <row r="580" spans="1:6" ht="13.8" x14ac:dyDescent="0.25">
      <c r="A580" s="437" t="s">
        <v>1312</v>
      </c>
      <c r="B580" s="274"/>
      <c r="C580" s="343"/>
      <c r="D580" s="343"/>
      <c r="E580" s="320"/>
      <c r="F580" s="320"/>
    </row>
    <row r="581" spans="1:6" ht="13.8" x14ac:dyDescent="0.25">
      <c r="A581" s="437"/>
      <c r="B581" s="274" t="s">
        <v>1313</v>
      </c>
      <c r="C581" s="343"/>
      <c r="D581" s="343"/>
      <c r="E581" s="320"/>
      <c r="F581" s="320"/>
    </row>
    <row r="582" spans="1:6" ht="13.8" x14ac:dyDescent="0.3">
      <c r="A582" s="437"/>
      <c r="B582" s="274"/>
      <c r="C582" s="329"/>
      <c r="D582" s="329"/>
      <c r="E582" s="320"/>
      <c r="F582" s="320"/>
    </row>
    <row r="583" spans="1:6" ht="13.8" x14ac:dyDescent="0.3">
      <c r="A583" s="437"/>
      <c r="B583" s="274" t="s">
        <v>1307</v>
      </c>
      <c r="C583" s="343" t="s">
        <v>867</v>
      </c>
      <c r="D583" s="475">
        <v>4</v>
      </c>
      <c r="E583" s="272"/>
      <c r="F583" s="273">
        <f>D583*E583</f>
        <v>0</v>
      </c>
    </row>
    <row r="584" spans="1:6" ht="13.8" x14ac:dyDescent="0.25">
      <c r="A584" s="437"/>
      <c r="B584" s="439"/>
      <c r="C584" s="343"/>
      <c r="D584" s="343"/>
      <c r="E584" s="320"/>
      <c r="F584" s="320"/>
    </row>
    <row r="585" spans="1:6" ht="13.8" x14ac:dyDescent="0.25">
      <c r="A585" s="437" t="s">
        <v>1314</v>
      </c>
      <c r="B585" s="274"/>
      <c r="C585" s="343"/>
      <c r="D585" s="343"/>
      <c r="E585" s="320"/>
      <c r="F585" s="320"/>
    </row>
    <row r="586" spans="1:6" ht="41.4" x14ac:dyDescent="0.25">
      <c r="A586" s="437"/>
      <c r="B586" s="274" t="s">
        <v>1315</v>
      </c>
      <c r="C586" s="343"/>
      <c r="D586" s="343"/>
      <c r="E586" s="320"/>
      <c r="F586" s="320"/>
    </row>
    <row r="587" spans="1:6" ht="13.8" x14ac:dyDescent="0.3">
      <c r="A587" s="437"/>
      <c r="B587" s="274"/>
      <c r="C587" s="329"/>
      <c r="D587" s="329"/>
      <c r="E587" s="320"/>
      <c r="F587" s="320"/>
    </row>
    <row r="588" spans="1:6" ht="13.8" x14ac:dyDescent="0.3">
      <c r="A588" s="437"/>
      <c r="B588" s="274" t="s">
        <v>1307</v>
      </c>
      <c r="C588" s="343" t="s">
        <v>867</v>
      </c>
      <c r="D588" s="343">
        <v>2</v>
      </c>
      <c r="E588" s="272"/>
      <c r="F588" s="273">
        <f>D588*E588</f>
        <v>0</v>
      </c>
    </row>
    <row r="589" spans="1:6" ht="13.8" x14ac:dyDescent="0.3">
      <c r="A589" s="437"/>
      <c r="B589" s="274"/>
      <c r="C589" s="343"/>
      <c r="D589" s="343"/>
      <c r="E589" s="467"/>
      <c r="F589" s="320"/>
    </row>
    <row r="590" spans="1:6" ht="13.8" x14ac:dyDescent="0.25">
      <c r="A590" s="483"/>
      <c r="B590" s="484"/>
      <c r="C590" s="462"/>
      <c r="D590" s="462"/>
      <c r="E590" s="485"/>
      <c r="F590" s="485"/>
    </row>
    <row r="591" spans="1:6" ht="15.6" x14ac:dyDescent="0.25">
      <c r="A591" s="375" t="s">
        <v>24</v>
      </c>
      <c r="B591" s="425" t="s">
        <v>1290</v>
      </c>
      <c r="C591" s="459"/>
      <c r="D591" s="459"/>
      <c r="E591" s="377"/>
      <c r="F591" s="378"/>
    </row>
    <row r="592" spans="1:6" ht="18" x14ac:dyDescent="0.25">
      <c r="A592" s="379"/>
      <c r="B592" s="433"/>
      <c r="C592" s="364"/>
      <c r="D592" s="364"/>
      <c r="E592" s="382"/>
      <c r="F592" s="383"/>
    </row>
    <row r="593" spans="1:6" ht="18" x14ac:dyDescent="0.25">
      <c r="A593" s="379"/>
      <c r="B593" s="380" t="s">
        <v>15</v>
      </c>
      <c r="C593" s="364"/>
      <c r="D593" s="364"/>
      <c r="E593" s="486"/>
      <c r="F593" s="487">
        <f>SUM(F541:F588)</f>
        <v>0</v>
      </c>
    </row>
    <row r="594" spans="1:6" ht="18" x14ac:dyDescent="0.25">
      <c r="A594" s="384"/>
      <c r="B594" s="385"/>
      <c r="C594" s="462"/>
      <c r="D594" s="462"/>
      <c r="E594" s="387"/>
      <c r="F594" s="388"/>
    </row>
    <row r="595" spans="1:6" ht="13.8" x14ac:dyDescent="0.3">
      <c r="A595" s="220"/>
      <c r="B595" s="248"/>
      <c r="C595" s="186"/>
      <c r="D595" s="186"/>
      <c r="E595" s="331"/>
      <c r="F595" s="331"/>
    </row>
    <row r="596" spans="1:6" ht="46.8" x14ac:dyDescent="0.3">
      <c r="A596" s="354" t="s">
        <v>25</v>
      </c>
      <c r="B596" s="254" t="s">
        <v>1316</v>
      </c>
      <c r="C596" s="488"/>
      <c r="D596" s="488"/>
      <c r="E596" s="263"/>
      <c r="F596" s="264"/>
    </row>
    <row r="597" spans="1:6" ht="15.6" x14ac:dyDescent="0.3">
      <c r="A597" s="489"/>
      <c r="B597" s="490"/>
      <c r="C597" s="301"/>
      <c r="D597" s="301"/>
      <c r="E597" s="302"/>
      <c r="F597" s="405"/>
    </row>
    <row r="598" spans="1:6" ht="27.6" x14ac:dyDescent="0.25">
      <c r="A598" s="427" t="s">
        <v>1135</v>
      </c>
      <c r="B598" s="790" t="s">
        <v>1144</v>
      </c>
      <c r="C598" s="790"/>
      <c r="D598" s="790"/>
      <c r="E598" s="790"/>
      <c r="F598" s="790"/>
    </row>
    <row r="599" spans="1:6" ht="37.200000000000003" customHeight="1" x14ac:dyDescent="0.25">
      <c r="A599" s="427"/>
      <c r="B599" s="790" t="s">
        <v>1317</v>
      </c>
      <c r="C599" s="790"/>
      <c r="D599" s="790"/>
      <c r="E599" s="790"/>
      <c r="F599" s="790"/>
    </row>
    <row r="600" spans="1:6" ht="15.6" x14ac:dyDescent="0.3">
      <c r="A600" s="489"/>
      <c r="B600" s="490"/>
      <c r="C600" s="301"/>
      <c r="D600" s="301"/>
      <c r="E600" s="302"/>
      <c r="F600" s="405"/>
    </row>
    <row r="601" spans="1:6" ht="13.8" x14ac:dyDescent="0.25">
      <c r="A601" s="491" t="s">
        <v>1318</v>
      </c>
      <c r="B601" s="449" t="s">
        <v>1319</v>
      </c>
      <c r="C601" s="474"/>
      <c r="D601" s="475"/>
      <c r="E601" s="492"/>
      <c r="F601" s="492"/>
    </row>
    <row r="602" spans="1:6" ht="13.8" x14ac:dyDescent="0.25">
      <c r="A602" s="474"/>
      <c r="B602" s="493"/>
      <c r="C602" s="474"/>
      <c r="D602" s="475"/>
      <c r="E602" s="492"/>
      <c r="F602" s="492"/>
    </row>
    <row r="603" spans="1:6" ht="13.8" x14ac:dyDescent="0.3">
      <c r="A603" s="474">
        <v>1</v>
      </c>
      <c r="B603" s="479" t="s">
        <v>1320</v>
      </c>
      <c r="C603" s="474" t="s">
        <v>632</v>
      </c>
      <c r="D603" s="475">
        <v>60</v>
      </c>
      <c r="E603" s="272"/>
      <c r="F603" s="273">
        <f t="shared" ref="F603:F607" si="5">D603*E603</f>
        <v>0</v>
      </c>
    </row>
    <row r="604" spans="1:6" ht="13.8" x14ac:dyDescent="0.3">
      <c r="A604" s="474">
        <v>2</v>
      </c>
      <c r="B604" s="479" t="s">
        <v>1321</v>
      </c>
      <c r="C604" s="474" t="s">
        <v>632</v>
      </c>
      <c r="D604" s="475">
        <v>10</v>
      </c>
      <c r="E604" s="272"/>
      <c r="F604" s="273">
        <f t="shared" si="5"/>
        <v>0</v>
      </c>
    </row>
    <row r="605" spans="1:6" ht="13.8" x14ac:dyDescent="0.3">
      <c r="A605" s="474">
        <v>3</v>
      </c>
      <c r="B605" s="479" t="s">
        <v>1322</v>
      </c>
      <c r="C605" s="474" t="s">
        <v>632</v>
      </c>
      <c r="D605" s="475">
        <v>50</v>
      </c>
      <c r="E605" s="272"/>
      <c r="F605" s="273">
        <f t="shared" si="5"/>
        <v>0</v>
      </c>
    </row>
    <row r="606" spans="1:6" ht="13.8" x14ac:dyDescent="0.3">
      <c r="A606" s="474">
        <v>4</v>
      </c>
      <c r="B606" s="479" t="s">
        <v>1323</v>
      </c>
      <c r="C606" s="474" t="s">
        <v>632</v>
      </c>
      <c r="D606" s="475">
        <v>80</v>
      </c>
      <c r="E606" s="272"/>
      <c r="F606" s="273">
        <f t="shared" si="5"/>
        <v>0</v>
      </c>
    </row>
    <row r="607" spans="1:6" ht="13.8" x14ac:dyDescent="0.3">
      <c r="A607" s="474">
        <v>5</v>
      </c>
      <c r="B607" s="479" t="s">
        <v>1324</v>
      </c>
      <c r="C607" s="474" t="s">
        <v>632</v>
      </c>
      <c r="D607" s="475">
        <v>16</v>
      </c>
      <c r="E607" s="272"/>
      <c r="F607" s="273">
        <f t="shared" si="5"/>
        <v>0</v>
      </c>
    </row>
    <row r="608" spans="1:6" ht="13.8" x14ac:dyDescent="0.25">
      <c r="A608" s="474"/>
      <c r="B608" s="479"/>
      <c r="C608" s="474"/>
      <c r="D608" s="475"/>
      <c r="E608" s="492"/>
      <c r="F608" s="492"/>
    </row>
    <row r="609" spans="1:6" ht="13.8" x14ac:dyDescent="0.25">
      <c r="A609" s="474"/>
      <c r="B609" s="449" t="s">
        <v>1276</v>
      </c>
      <c r="C609" s="474"/>
      <c r="D609" s="475"/>
      <c r="E609" s="492"/>
      <c r="F609" s="492"/>
    </row>
    <row r="610" spans="1:6" ht="13.8" x14ac:dyDescent="0.3">
      <c r="A610" s="474">
        <v>6</v>
      </c>
      <c r="B610" s="479" t="s">
        <v>1325</v>
      </c>
      <c r="C610" s="474" t="s">
        <v>867</v>
      </c>
      <c r="D610" s="475">
        <v>12</v>
      </c>
      <c r="E610" s="272"/>
      <c r="F610" s="273">
        <f t="shared" ref="F610:F627" si="6">D610*E610</f>
        <v>0</v>
      </c>
    </row>
    <row r="611" spans="1:6" ht="13.8" x14ac:dyDescent="0.3">
      <c r="A611" s="474">
        <v>7</v>
      </c>
      <c r="B611" s="479" t="s">
        <v>1326</v>
      </c>
      <c r="C611" s="474" t="s">
        <v>867</v>
      </c>
      <c r="D611" s="475">
        <v>4</v>
      </c>
      <c r="E611" s="272"/>
      <c r="F611" s="273">
        <f t="shared" si="6"/>
        <v>0</v>
      </c>
    </row>
    <row r="612" spans="1:6" ht="13.8" x14ac:dyDescent="0.3">
      <c r="A612" s="474">
        <v>8</v>
      </c>
      <c r="B612" s="479" t="s">
        <v>1327</v>
      </c>
      <c r="C612" s="474" t="s">
        <v>867</v>
      </c>
      <c r="D612" s="475">
        <v>4</v>
      </c>
      <c r="E612" s="272"/>
      <c r="F612" s="273">
        <f t="shared" si="6"/>
        <v>0</v>
      </c>
    </row>
    <row r="613" spans="1:6" ht="13.8" x14ac:dyDescent="0.3">
      <c r="A613" s="474">
        <v>9</v>
      </c>
      <c r="B613" s="479" t="s">
        <v>1328</v>
      </c>
      <c r="C613" s="474" t="s">
        <v>867</v>
      </c>
      <c r="D613" s="475">
        <v>6</v>
      </c>
      <c r="E613" s="272"/>
      <c r="F613" s="273">
        <f t="shared" si="6"/>
        <v>0</v>
      </c>
    </row>
    <row r="614" spans="1:6" ht="13.8" x14ac:dyDescent="0.3">
      <c r="A614" s="474">
        <v>10</v>
      </c>
      <c r="B614" s="479" t="s">
        <v>1329</v>
      </c>
      <c r="C614" s="474" t="s">
        <v>867</v>
      </c>
      <c r="D614" s="475">
        <v>2</v>
      </c>
      <c r="E614" s="272"/>
      <c r="F614" s="273">
        <f t="shared" si="6"/>
        <v>0</v>
      </c>
    </row>
    <row r="615" spans="1:6" ht="13.8" x14ac:dyDescent="0.3">
      <c r="A615" s="474">
        <v>11</v>
      </c>
      <c r="B615" s="479" t="s">
        <v>1330</v>
      </c>
      <c r="C615" s="474" t="s">
        <v>867</v>
      </c>
      <c r="D615" s="475">
        <v>4</v>
      </c>
      <c r="E615" s="272"/>
      <c r="F615" s="273">
        <f t="shared" si="6"/>
        <v>0</v>
      </c>
    </row>
    <row r="616" spans="1:6" ht="13.8" x14ac:dyDescent="0.3">
      <c r="A616" s="474">
        <v>12</v>
      </c>
      <c r="B616" s="479" t="s">
        <v>1331</v>
      </c>
      <c r="C616" s="474" t="s">
        <v>867</v>
      </c>
      <c r="D616" s="475">
        <v>52</v>
      </c>
      <c r="E616" s="272"/>
      <c r="F616" s="273">
        <f t="shared" si="6"/>
        <v>0</v>
      </c>
    </row>
    <row r="617" spans="1:6" ht="13.8" x14ac:dyDescent="0.3">
      <c r="A617" s="474">
        <v>13</v>
      </c>
      <c r="B617" s="479" t="s">
        <v>1332</v>
      </c>
      <c r="C617" s="474" t="s">
        <v>867</v>
      </c>
      <c r="D617" s="475">
        <v>6</v>
      </c>
      <c r="E617" s="272"/>
      <c r="F617" s="273">
        <f t="shared" si="6"/>
        <v>0</v>
      </c>
    </row>
    <row r="618" spans="1:6" ht="13.8" x14ac:dyDescent="0.3">
      <c r="A618" s="474">
        <v>14</v>
      </c>
      <c r="B618" s="479" t="s">
        <v>1333</v>
      </c>
      <c r="C618" s="474" t="s">
        <v>867</v>
      </c>
      <c r="D618" s="475">
        <v>10</v>
      </c>
      <c r="E618" s="272"/>
      <c r="F618" s="273">
        <f t="shared" si="6"/>
        <v>0</v>
      </c>
    </row>
    <row r="619" spans="1:6" ht="13.8" x14ac:dyDescent="0.3">
      <c r="A619" s="474">
        <v>15</v>
      </c>
      <c r="B619" s="479" t="s">
        <v>1334</v>
      </c>
      <c r="C619" s="474" t="s">
        <v>867</v>
      </c>
      <c r="D619" s="475">
        <v>8</v>
      </c>
      <c r="E619" s="272"/>
      <c r="F619" s="273">
        <f t="shared" si="6"/>
        <v>0</v>
      </c>
    </row>
    <row r="620" spans="1:6" ht="13.8" x14ac:dyDescent="0.3">
      <c r="A620" s="474">
        <v>16</v>
      </c>
      <c r="B620" s="479" t="s">
        <v>1335</v>
      </c>
      <c r="C620" s="474" t="s">
        <v>867</v>
      </c>
      <c r="D620" s="475">
        <v>4</v>
      </c>
      <c r="E620" s="272"/>
      <c r="F620" s="273">
        <f t="shared" si="6"/>
        <v>0</v>
      </c>
    </row>
    <row r="621" spans="1:6" ht="13.8" x14ac:dyDescent="0.3">
      <c r="A621" s="474">
        <v>17</v>
      </c>
      <c r="B621" s="479" t="s">
        <v>1336</v>
      </c>
      <c r="C621" s="474" t="s">
        <v>867</v>
      </c>
      <c r="D621" s="475">
        <v>4</v>
      </c>
      <c r="E621" s="272"/>
      <c r="F621" s="273">
        <f t="shared" si="6"/>
        <v>0</v>
      </c>
    </row>
    <row r="622" spans="1:6" ht="13.8" x14ac:dyDescent="0.3">
      <c r="A622" s="474">
        <v>18</v>
      </c>
      <c r="B622" s="479" t="s">
        <v>1337</v>
      </c>
      <c r="C622" s="474" t="s">
        <v>867</v>
      </c>
      <c r="D622" s="475">
        <v>2</v>
      </c>
      <c r="E622" s="272"/>
      <c r="F622" s="273">
        <f t="shared" si="6"/>
        <v>0</v>
      </c>
    </row>
    <row r="623" spans="1:6" ht="13.8" x14ac:dyDescent="0.3">
      <c r="A623" s="474">
        <v>19</v>
      </c>
      <c r="B623" s="479" t="s">
        <v>1338</v>
      </c>
      <c r="C623" s="474" t="s">
        <v>867</v>
      </c>
      <c r="D623" s="475">
        <v>2</v>
      </c>
      <c r="E623" s="272"/>
      <c r="F623" s="273">
        <f t="shared" si="6"/>
        <v>0</v>
      </c>
    </row>
    <row r="624" spans="1:6" ht="13.8" x14ac:dyDescent="0.3">
      <c r="A624" s="474">
        <v>20</v>
      </c>
      <c r="B624" s="479" t="s">
        <v>1339</v>
      </c>
      <c r="C624" s="474" t="s">
        <v>867</v>
      </c>
      <c r="D624" s="475">
        <v>2</v>
      </c>
      <c r="E624" s="272"/>
      <c r="F624" s="273">
        <f t="shared" si="6"/>
        <v>0</v>
      </c>
    </row>
    <row r="625" spans="1:6" ht="13.8" x14ac:dyDescent="0.3">
      <c r="A625" s="474">
        <v>21</v>
      </c>
      <c r="B625" s="479" t="s">
        <v>1340</v>
      </c>
      <c r="C625" s="474" t="s">
        <v>867</v>
      </c>
      <c r="D625" s="475">
        <v>8</v>
      </c>
      <c r="E625" s="272"/>
      <c r="F625" s="273">
        <f t="shared" si="6"/>
        <v>0</v>
      </c>
    </row>
    <row r="626" spans="1:6" ht="13.8" x14ac:dyDescent="0.3">
      <c r="A626" s="474">
        <v>22</v>
      </c>
      <c r="B626" s="479" t="s">
        <v>1341</v>
      </c>
      <c r="C626" s="474" t="s">
        <v>867</v>
      </c>
      <c r="D626" s="475">
        <v>2</v>
      </c>
      <c r="E626" s="272"/>
      <c r="F626" s="273">
        <f t="shared" si="6"/>
        <v>0</v>
      </c>
    </row>
    <row r="627" spans="1:6" ht="13.8" x14ac:dyDescent="0.3">
      <c r="A627" s="474">
        <v>23</v>
      </c>
      <c r="B627" s="479" t="s">
        <v>1342</v>
      </c>
      <c r="C627" s="474" t="s">
        <v>867</v>
      </c>
      <c r="D627" s="475">
        <v>2</v>
      </c>
      <c r="E627" s="272"/>
      <c r="F627" s="273">
        <f t="shared" si="6"/>
        <v>0</v>
      </c>
    </row>
    <row r="628" spans="1:6" ht="13.8" x14ac:dyDescent="0.25">
      <c r="A628" s="474"/>
      <c r="B628" s="479"/>
      <c r="C628" s="474"/>
      <c r="D628" s="475"/>
      <c r="E628" s="492"/>
      <c r="F628" s="492"/>
    </row>
    <row r="629" spans="1:6" ht="13.8" x14ac:dyDescent="0.25">
      <c r="A629" s="474"/>
      <c r="B629" s="449" t="s">
        <v>1282</v>
      </c>
      <c r="C629" s="474"/>
      <c r="D629" s="475"/>
      <c r="E629" s="492"/>
      <c r="F629" s="492"/>
    </row>
    <row r="630" spans="1:6" ht="13.8" x14ac:dyDescent="0.3">
      <c r="A630" s="474">
        <v>24</v>
      </c>
      <c r="B630" s="479" t="s">
        <v>1284</v>
      </c>
      <c r="C630" s="474" t="s">
        <v>867</v>
      </c>
      <c r="D630" s="475">
        <v>100</v>
      </c>
      <c r="E630" s="272"/>
      <c r="F630" s="273">
        <f t="shared" ref="F630:F634" si="7">D630*E630</f>
        <v>0</v>
      </c>
    </row>
    <row r="631" spans="1:6" ht="13.8" x14ac:dyDescent="0.3">
      <c r="A631" s="474">
        <v>25</v>
      </c>
      <c r="B631" s="479" t="s">
        <v>1343</v>
      </c>
      <c r="C631" s="474" t="s">
        <v>867</v>
      </c>
      <c r="D631" s="475">
        <v>90</v>
      </c>
      <c r="E631" s="272"/>
      <c r="F631" s="273">
        <f t="shared" si="7"/>
        <v>0</v>
      </c>
    </row>
    <row r="632" spans="1:6" ht="13.8" x14ac:dyDescent="0.3">
      <c r="A632" s="474">
        <v>26</v>
      </c>
      <c r="B632" s="479" t="s">
        <v>1344</v>
      </c>
      <c r="C632" s="474" t="s">
        <v>867</v>
      </c>
      <c r="D632" s="475">
        <v>50</v>
      </c>
      <c r="E632" s="272"/>
      <c r="F632" s="273">
        <f t="shared" si="7"/>
        <v>0</v>
      </c>
    </row>
    <row r="633" spans="1:6" ht="13.8" x14ac:dyDescent="0.3">
      <c r="A633" s="474">
        <v>27</v>
      </c>
      <c r="B633" s="479" t="s">
        <v>1345</v>
      </c>
      <c r="C633" s="474" t="s">
        <v>867</v>
      </c>
      <c r="D633" s="475">
        <v>65</v>
      </c>
      <c r="E633" s="272"/>
      <c r="F633" s="273">
        <f t="shared" si="7"/>
        <v>0</v>
      </c>
    </row>
    <row r="634" spans="1:6" ht="13.8" x14ac:dyDescent="0.3">
      <c r="A634" s="474">
        <v>28</v>
      </c>
      <c r="B634" s="479" t="s">
        <v>1346</v>
      </c>
      <c r="C634" s="474" t="s">
        <v>867</v>
      </c>
      <c r="D634" s="475">
        <v>7</v>
      </c>
      <c r="E634" s="272"/>
      <c r="F634" s="273">
        <f t="shared" si="7"/>
        <v>0</v>
      </c>
    </row>
    <row r="635" spans="1:6" ht="13.8" x14ac:dyDescent="0.25">
      <c r="A635" s="474"/>
      <c r="B635" s="479"/>
      <c r="C635" s="474"/>
      <c r="D635" s="475"/>
      <c r="E635" s="492"/>
      <c r="F635" s="492"/>
    </row>
    <row r="636" spans="1:6" ht="13.8" x14ac:dyDescent="0.25">
      <c r="A636" s="491" t="s">
        <v>1347</v>
      </c>
      <c r="B636" s="479"/>
      <c r="C636" s="474"/>
      <c r="D636" s="475"/>
      <c r="E636" s="492"/>
      <c r="F636" s="492"/>
    </row>
    <row r="637" spans="1:6" ht="41.4" x14ac:dyDescent="0.25">
      <c r="A637" s="474"/>
      <c r="B637" s="479" t="s">
        <v>1348</v>
      </c>
      <c r="C637" s="474"/>
      <c r="D637" s="475"/>
      <c r="E637" s="492"/>
      <c r="F637" s="492"/>
    </row>
    <row r="638" spans="1:6" ht="13.8" x14ac:dyDescent="0.25">
      <c r="A638" s="474"/>
      <c r="B638" s="479"/>
      <c r="C638" s="474"/>
      <c r="D638" s="475"/>
      <c r="E638" s="492"/>
      <c r="F638" s="492"/>
    </row>
    <row r="639" spans="1:6" ht="13.8" x14ac:dyDescent="0.3">
      <c r="A639" s="474"/>
      <c r="B639" s="479" t="s">
        <v>1349</v>
      </c>
      <c r="C639" s="474" t="s">
        <v>632</v>
      </c>
      <c r="D639" s="475">
        <v>75</v>
      </c>
      <c r="E639" s="272"/>
      <c r="F639" s="273">
        <f>D639*E639</f>
        <v>0</v>
      </c>
    </row>
    <row r="640" spans="1:6" ht="13.8" x14ac:dyDescent="0.3">
      <c r="A640" s="247"/>
      <c r="B640" s="479"/>
      <c r="C640" s="265"/>
      <c r="D640" s="266"/>
      <c r="E640" s="251"/>
      <c r="F640" s="252"/>
    </row>
    <row r="641" spans="1:6" ht="13.8" x14ac:dyDescent="0.3">
      <c r="A641" s="491" t="s">
        <v>1347</v>
      </c>
      <c r="B641" s="479"/>
      <c r="C641" s="265"/>
      <c r="D641" s="266"/>
      <c r="E641" s="251"/>
      <c r="F641" s="252"/>
    </row>
    <row r="642" spans="1:6" ht="27.6" x14ac:dyDescent="0.3">
      <c r="A642" s="247"/>
      <c r="B642" s="479" t="s">
        <v>1350</v>
      </c>
      <c r="C642" s="265"/>
      <c r="D642" s="266"/>
      <c r="E642" s="251"/>
      <c r="F642" s="252"/>
    </row>
    <row r="643" spans="1:6" ht="13.8" x14ac:dyDescent="0.3">
      <c r="A643" s="247"/>
      <c r="B643" s="479"/>
      <c r="C643" s="265" t="s">
        <v>1053</v>
      </c>
      <c r="D643" s="266">
        <v>3</v>
      </c>
      <c r="E643" s="272"/>
      <c r="F643" s="273">
        <f>D643*E643</f>
        <v>0</v>
      </c>
    </row>
    <row r="644" spans="1:6" ht="13.8" x14ac:dyDescent="0.3">
      <c r="A644" s="247"/>
      <c r="B644" s="248"/>
      <c r="C644" s="265"/>
      <c r="D644" s="266"/>
      <c r="E644" s="251"/>
      <c r="F644" s="252"/>
    </row>
    <row r="645" spans="1:6" ht="13.8" x14ac:dyDescent="0.3">
      <c r="A645" s="270"/>
      <c r="B645" s="494"/>
      <c r="C645" s="336"/>
      <c r="D645" s="336"/>
      <c r="E645" s="315"/>
      <c r="F645" s="252"/>
    </row>
    <row r="646" spans="1:6" ht="31.2" x14ac:dyDescent="0.25">
      <c r="A646" s="495" t="s">
        <v>25</v>
      </c>
      <c r="B646" s="209" t="s">
        <v>1351</v>
      </c>
      <c r="C646" s="496"/>
      <c r="D646" s="459"/>
      <c r="E646" s="377"/>
      <c r="F646" s="497"/>
    </row>
    <row r="647" spans="1:6" ht="15.6" x14ac:dyDescent="0.25">
      <c r="A647" s="379"/>
      <c r="B647" s="498"/>
      <c r="C647" s="499"/>
      <c r="D647" s="364"/>
      <c r="E647" s="382"/>
      <c r="F647" s="500"/>
    </row>
    <row r="648" spans="1:6" ht="18" x14ac:dyDescent="0.25">
      <c r="A648" s="379"/>
      <c r="B648" s="501" t="s">
        <v>1132</v>
      </c>
      <c r="C648" s="499"/>
      <c r="D648" s="364"/>
      <c r="E648" s="785">
        <f>SUM(F602:F643)</f>
        <v>0</v>
      </c>
      <c r="F648" s="786"/>
    </row>
    <row r="649" spans="1:6" ht="18" x14ac:dyDescent="0.25">
      <c r="A649" s="384"/>
      <c r="B649" s="502"/>
      <c r="C649" s="503"/>
      <c r="D649" s="462"/>
      <c r="E649" s="387"/>
      <c r="F649" s="504"/>
    </row>
    <row r="650" spans="1:6" ht="13.8" x14ac:dyDescent="0.3">
      <c r="A650" s="247"/>
      <c r="B650" s="248"/>
      <c r="C650" s="265"/>
      <c r="D650" s="266"/>
      <c r="E650" s="315"/>
      <c r="F650" s="252"/>
    </row>
    <row r="651" spans="1:6" ht="13.8" x14ac:dyDescent="0.3">
      <c r="A651" s="220"/>
      <c r="B651" s="248"/>
      <c r="C651" s="186"/>
      <c r="D651" s="186"/>
      <c r="E651" s="331"/>
      <c r="F651" s="331"/>
    </row>
    <row r="652" spans="1:6" ht="27.6" x14ac:dyDescent="0.3">
      <c r="A652" s="260" t="s">
        <v>26</v>
      </c>
      <c r="B652" s="261" t="s">
        <v>1352</v>
      </c>
      <c r="C652" s="505"/>
      <c r="D652" s="262"/>
      <c r="E652" s="506"/>
      <c r="F652" s="507"/>
    </row>
    <row r="653" spans="1:6" ht="18" x14ac:dyDescent="0.3">
      <c r="A653" s="188"/>
      <c r="B653" s="508"/>
      <c r="C653" s="186"/>
      <c r="D653" s="186"/>
      <c r="E653" s="509"/>
      <c r="F653" s="509"/>
    </row>
    <row r="654" spans="1:6" ht="46.8" customHeight="1" x14ac:dyDescent="0.25">
      <c r="A654" s="311" t="s">
        <v>1135</v>
      </c>
      <c r="B654" s="782" t="s">
        <v>1353</v>
      </c>
      <c r="C654" s="782"/>
      <c r="D654" s="782"/>
      <c r="E654" s="782"/>
      <c r="F654" s="782"/>
    </row>
    <row r="655" spans="1:6" ht="13.8" x14ac:dyDescent="0.25">
      <c r="A655" s="311"/>
      <c r="B655" s="510"/>
      <c r="C655" s="311"/>
      <c r="D655" s="311"/>
      <c r="E655" s="259"/>
      <c r="F655" s="259"/>
    </row>
    <row r="656" spans="1:6" ht="13.8" x14ac:dyDescent="0.25">
      <c r="A656" s="311"/>
      <c r="B656" s="510"/>
      <c r="C656" s="311"/>
      <c r="D656" s="311"/>
      <c r="E656" s="259"/>
      <c r="F656" s="259"/>
    </row>
    <row r="657" spans="1:7" ht="13.8" x14ac:dyDescent="0.25">
      <c r="A657" s="311"/>
      <c r="B657" s="510"/>
      <c r="C657" s="311"/>
      <c r="D657" s="311"/>
      <c r="E657" s="259"/>
      <c r="F657" s="259"/>
    </row>
    <row r="658" spans="1:7" ht="13.8" x14ac:dyDescent="0.25">
      <c r="A658" s="511" t="s">
        <v>1354</v>
      </c>
      <c r="B658" s="510"/>
      <c r="C658" s="311"/>
      <c r="D658" s="311"/>
      <c r="E658" s="259"/>
      <c r="F658" s="259"/>
    </row>
    <row r="659" spans="1:7" ht="135" customHeight="1" x14ac:dyDescent="0.25">
      <c r="A659" s="491"/>
      <c r="B659" s="514" t="s">
        <v>1821</v>
      </c>
      <c r="C659" s="474"/>
      <c r="D659" s="475"/>
      <c r="E659" s="492"/>
      <c r="F659" s="492"/>
      <c r="G659" s="693"/>
    </row>
    <row r="660" spans="1:7" ht="13.8" x14ac:dyDescent="0.3">
      <c r="A660" s="491"/>
      <c r="B660" s="479"/>
      <c r="C660" s="474"/>
      <c r="D660" s="475"/>
      <c r="E660" s="272"/>
      <c r="F660" s="273"/>
    </row>
    <row r="661" spans="1:7" ht="13.8" x14ac:dyDescent="0.25">
      <c r="A661" s="491"/>
      <c r="B661" s="479"/>
      <c r="C661" s="474"/>
      <c r="D661" s="475"/>
      <c r="E661" s="492"/>
      <c r="F661" s="492"/>
    </row>
    <row r="662" spans="1:7" ht="13.8" x14ac:dyDescent="0.25">
      <c r="A662" s="491"/>
      <c r="B662" s="479" t="s">
        <v>1596</v>
      </c>
      <c r="C662" s="474"/>
      <c r="D662" s="475"/>
      <c r="E662" s="492"/>
      <c r="F662" s="492"/>
    </row>
    <row r="663" spans="1:7" ht="13.8" x14ac:dyDescent="0.3">
      <c r="A663" s="512"/>
      <c r="B663" s="513"/>
      <c r="C663" s="480"/>
      <c r="D663" s="481"/>
      <c r="E663" s="270"/>
      <c r="F663" s="270"/>
    </row>
    <row r="664" spans="1:7" ht="214.2" customHeight="1" x14ac:dyDescent="0.3">
      <c r="A664" s="512" t="s">
        <v>1270</v>
      </c>
      <c r="B664" s="513" t="s">
        <v>1810</v>
      </c>
      <c r="C664" s="480" t="s">
        <v>867</v>
      </c>
      <c r="D664" s="481">
        <v>1</v>
      </c>
      <c r="E664" s="272"/>
      <c r="F664" s="273">
        <f>D664*E664</f>
        <v>0</v>
      </c>
      <c r="G664" s="693"/>
    </row>
    <row r="665" spans="1:7" ht="13.8" x14ac:dyDescent="0.25">
      <c r="A665" s="511"/>
      <c r="B665" s="510"/>
      <c r="C665" s="311"/>
      <c r="D665" s="311"/>
      <c r="E665" s="259"/>
      <c r="F665" s="259"/>
    </row>
    <row r="666" spans="1:7" ht="213" customHeight="1" x14ac:dyDescent="0.3">
      <c r="A666" s="512" t="s">
        <v>1355</v>
      </c>
      <c r="B666" s="514" t="s">
        <v>1811</v>
      </c>
      <c r="C666" s="480" t="s">
        <v>867</v>
      </c>
      <c r="D666" s="481">
        <v>1</v>
      </c>
      <c r="E666" s="272"/>
      <c r="F666" s="273">
        <f>D666*E666</f>
        <v>0</v>
      </c>
      <c r="G666" s="693"/>
    </row>
    <row r="667" spans="1:7" ht="13.8" x14ac:dyDescent="0.3">
      <c r="A667" s="512"/>
      <c r="B667" s="514"/>
      <c r="C667" s="480"/>
      <c r="D667" s="481"/>
      <c r="E667" s="492"/>
      <c r="F667" s="492"/>
    </row>
    <row r="668" spans="1:7" ht="213" customHeight="1" x14ac:dyDescent="0.3">
      <c r="A668" s="512">
        <v>3</v>
      </c>
      <c r="B668" s="513" t="s">
        <v>1812</v>
      </c>
      <c r="C668" s="480" t="s">
        <v>867</v>
      </c>
      <c r="D668" s="481">
        <v>2</v>
      </c>
      <c r="E668" s="272"/>
      <c r="F668" s="273">
        <f>D668*E668</f>
        <v>0</v>
      </c>
      <c r="G668" s="693"/>
    </row>
    <row r="669" spans="1:7" ht="13.8" x14ac:dyDescent="0.3">
      <c r="A669" s="515"/>
      <c r="B669" s="516"/>
      <c r="C669" s="517"/>
      <c r="D669" s="517"/>
      <c r="E669" s="518"/>
      <c r="F669" s="518"/>
    </row>
    <row r="670" spans="1:7" ht="208.8" customHeight="1" x14ac:dyDescent="0.3">
      <c r="A670" s="512">
        <v>4</v>
      </c>
      <c r="B670" s="514" t="s">
        <v>1813</v>
      </c>
      <c r="C670" s="480" t="s">
        <v>867</v>
      </c>
      <c r="D670" s="481">
        <v>1</v>
      </c>
      <c r="E670" s="272"/>
      <c r="F670" s="273">
        <f>D670*E670</f>
        <v>0</v>
      </c>
      <c r="G670" s="693"/>
    </row>
    <row r="671" spans="1:7" ht="13.8" x14ac:dyDescent="0.3">
      <c r="A671" s="512"/>
      <c r="B671" s="514"/>
      <c r="C671" s="480"/>
      <c r="D671" s="481"/>
      <c r="E671" s="492"/>
      <c r="F671" s="492"/>
    </row>
    <row r="672" spans="1:7" ht="210" customHeight="1" x14ac:dyDescent="0.3">
      <c r="A672" s="512">
        <v>5</v>
      </c>
      <c r="B672" s="514" t="s">
        <v>1814</v>
      </c>
      <c r="C672" s="480" t="s">
        <v>867</v>
      </c>
      <c r="D672" s="481">
        <v>1</v>
      </c>
      <c r="E672" s="272"/>
      <c r="F672" s="273">
        <f>D672*E672</f>
        <v>0</v>
      </c>
      <c r="G672" s="693"/>
    </row>
    <row r="673" spans="1:7" ht="13.8" x14ac:dyDescent="0.3">
      <c r="A673" s="512"/>
      <c r="B673" s="514"/>
      <c r="C673" s="480"/>
      <c r="D673" s="481"/>
      <c r="E673" s="492"/>
      <c r="F673" s="492"/>
    </row>
    <row r="674" spans="1:7" ht="208.2" customHeight="1" x14ac:dyDescent="0.3">
      <c r="A674" s="512">
        <v>6</v>
      </c>
      <c r="B674" s="513" t="s">
        <v>1815</v>
      </c>
      <c r="C674" s="480" t="s">
        <v>867</v>
      </c>
      <c r="D674" s="481">
        <v>1</v>
      </c>
      <c r="E674" s="272"/>
      <c r="F674" s="273">
        <f>D674*E674</f>
        <v>0</v>
      </c>
      <c r="G674" s="693"/>
    </row>
    <row r="675" spans="1:7" ht="13.8" x14ac:dyDescent="0.3">
      <c r="A675" s="512"/>
      <c r="B675" s="513"/>
      <c r="C675" s="480"/>
      <c r="D675" s="481"/>
      <c r="E675" s="270"/>
      <c r="F675" s="270"/>
    </row>
    <row r="676" spans="1:7" ht="222" customHeight="1" x14ac:dyDescent="0.3">
      <c r="A676" s="512">
        <v>7</v>
      </c>
      <c r="B676" s="513" t="s">
        <v>1816</v>
      </c>
      <c r="C676" s="480" t="s">
        <v>867</v>
      </c>
      <c r="D676" s="481">
        <v>1</v>
      </c>
      <c r="E676" s="272"/>
      <c r="F676" s="273">
        <f>D676*E676</f>
        <v>0</v>
      </c>
      <c r="G676" s="693"/>
    </row>
    <row r="677" spans="1:7" ht="13.8" x14ac:dyDescent="0.3">
      <c r="A677" s="512"/>
      <c r="B677" s="513"/>
      <c r="C677" s="480"/>
      <c r="D677" s="481"/>
      <c r="E677" s="270"/>
      <c r="F677" s="270"/>
    </row>
    <row r="678" spans="1:7" ht="208.8" customHeight="1" x14ac:dyDescent="0.3">
      <c r="A678" s="512">
        <v>8</v>
      </c>
      <c r="B678" s="513" t="s">
        <v>1817</v>
      </c>
      <c r="C678" s="480" t="s">
        <v>867</v>
      </c>
      <c r="D678" s="481">
        <v>3</v>
      </c>
      <c r="E678" s="272"/>
      <c r="F678" s="273">
        <f>D678*E678</f>
        <v>0</v>
      </c>
      <c r="G678" s="693"/>
    </row>
    <row r="679" spans="1:7" ht="13.8" x14ac:dyDescent="0.3">
      <c r="A679" s="512"/>
      <c r="B679" s="513"/>
      <c r="C679" s="480"/>
      <c r="D679" s="481"/>
      <c r="E679" s="270"/>
      <c r="F679" s="270"/>
    </row>
    <row r="680" spans="1:7" ht="225" customHeight="1" x14ac:dyDescent="0.3">
      <c r="A680" s="512">
        <v>9</v>
      </c>
      <c r="B680" s="513" t="s">
        <v>1818</v>
      </c>
      <c r="C680" s="480" t="s">
        <v>867</v>
      </c>
      <c r="D680" s="481">
        <v>1</v>
      </c>
      <c r="E680" s="272"/>
      <c r="F680" s="273">
        <f>D680*E680</f>
        <v>0</v>
      </c>
      <c r="G680" s="693"/>
    </row>
    <row r="681" spans="1:7" ht="13.8" x14ac:dyDescent="0.3">
      <c r="A681" s="512"/>
      <c r="B681" s="513"/>
      <c r="C681" s="480"/>
      <c r="D681" s="481"/>
      <c r="E681" s="270"/>
      <c r="F681" s="270"/>
    </row>
    <row r="682" spans="1:7" ht="222" customHeight="1" x14ac:dyDescent="0.3">
      <c r="A682" s="512">
        <v>10</v>
      </c>
      <c r="B682" s="514" t="s">
        <v>1819</v>
      </c>
      <c r="C682" s="480" t="s">
        <v>867</v>
      </c>
      <c r="D682" s="481">
        <v>1</v>
      </c>
      <c r="E682" s="272"/>
      <c r="F682" s="273">
        <f>D682*E682</f>
        <v>0</v>
      </c>
      <c r="G682" s="693"/>
    </row>
    <row r="683" spans="1:7" ht="13.8" x14ac:dyDescent="0.3">
      <c r="A683" s="512"/>
      <c r="B683" s="514"/>
      <c r="C683" s="480"/>
      <c r="D683" s="481"/>
      <c r="E683" s="492"/>
      <c r="F683" s="492"/>
    </row>
    <row r="684" spans="1:7" ht="211.2" customHeight="1" x14ac:dyDescent="0.3">
      <c r="A684" s="512">
        <v>11</v>
      </c>
      <c r="B684" s="513" t="s">
        <v>1820</v>
      </c>
      <c r="C684" s="480" t="s">
        <v>867</v>
      </c>
      <c r="D684" s="481">
        <v>1</v>
      </c>
      <c r="E684" s="272"/>
      <c r="F684" s="273">
        <f>D684*E684</f>
        <v>0</v>
      </c>
      <c r="G684" s="693"/>
    </row>
    <row r="685" spans="1:7" ht="18" x14ac:dyDescent="0.3">
      <c r="A685" s="519"/>
      <c r="B685" s="520"/>
      <c r="C685" s="301"/>
      <c r="D685" s="301"/>
      <c r="E685" s="521"/>
      <c r="F685" s="521"/>
    </row>
    <row r="686" spans="1:7" ht="18" x14ac:dyDescent="0.3">
      <c r="A686" s="519"/>
      <c r="B686" s="520"/>
      <c r="C686" s="301"/>
      <c r="D686" s="301"/>
      <c r="E686" s="521"/>
      <c r="F686" s="521"/>
    </row>
    <row r="687" spans="1:7" ht="18" x14ac:dyDescent="0.3">
      <c r="A687" s="519"/>
      <c r="B687" s="520"/>
      <c r="C687" s="301"/>
      <c r="D687" s="301"/>
      <c r="E687" s="522"/>
      <c r="F687" s="522"/>
    </row>
    <row r="688" spans="1:7" ht="31.2" x14ac:dyDescent="0.3">
      <c r="A688" s="495" t="s">
        <v>26</v>
      </c>
      <c r="B688" s="523" t="s">
        <v>1352</v>
      </c>
      <c r="C688" s="295"/>
      <c r="D688" s="295"/>
      <c r="E688" s="524"/>
      <c r="F688" s="525"/>
    </row>
    <row r="689" spans="1:6" ht="18" x14ac:dyDescent="0.3">
      <c r="A689" s="526"/>
      <c r="B689" s="520"/>
      <c r="C689" s="301"/>
      <c r="D689" s="301"/>
      <c r="E689" s="521"/>
      <c r="F689" s="527"/>
    </row>
    <row r="690" spans="1:6" ht="31.2" x14ac:dyDescent="0.35">
      <c r="A690" s="526"/>
      <c r="B690" s="490" t="s">
        <v>1141</v>
      </c>
      <c r="C690" s="301"/>
      <c r="D690" s="301"/>
      <c r="E690" s="528"/>
      <c r="F690" s="529">
        <f>SUM(F659:F684)</f>
        <v>0</v>
      </c>
    </row>
    <row r="691" spans="1:6" ht="13.8" x14ac:dyDescent="0.3">
      <c r="A691" s="530"/>
      <c r="B691" s="531"/>
      <c r="C691" s="200"/>
      <c r="D691" s="200"/>
      <c r="E691" s="522"/>
      <c r="F691" s="532"/>
    </row>
    <row r="692" spans="1:6" ht="13.8" x14ac:dyDescent="0.3">
      <c r="A692" s="220"/>
      <c r="B692" s="248"/>
      <c r="C692" s="186"/>
      <c r="D692" s="186"/>
      <c r="E692" s="331"/>
      <c r="F692" s="331"/>
    </row>
    <row r="693" spans="1:6" ht="13.8" x14ac:dyDescent="0.3">
      <c r="A693" s="220"/>
      <c r="B693" s="248"/>
      <c r="C693" s="186"/>
      <c r="D693" s="186"/>
      <c r="E693" s="331"/>
      <c r="F693" s="331"/>
    </row>
    <row r="694" spans="1:6" ht="27.6" x14ac:dyDescent="0.3">
      <c r="A694" s="260" t="s">
        <v>1356</v>
      </c>
      <c r="B694" s="261" t="s">
        <v>1357</v>
      </c>
      <c r="C694" s="262"/>
      <c r="D694" s="262"/>
      <c r="E694" s="507"/>
      <c r="F694" s="507"/>
    </row>
    <row r="695" spans="1:6" ht="13.8" x14ac:dyDescent="0.3">
      <c r="A695" s="311"/>
      <c r="B695" s="510"/>
      <c r="C695" s="533"/>
      <c r="D695" s="533"/>
      <c r="E695" s="534"/>
      <c r="F695" s="534"/>
    </row>
    <row r="696" spans="1:6" ht="13.8" x14ac:dyDescent="0.25">
      <c r="A696" s="265" t="s">
        <v>1358</v>
      </c>
      <c r="B696" s="365"/>
      <c r="C696" s="427"/>
      <c r="D696" s="427"/>
      <c r="E696" s="328"/>
      <c r="F696" s="328"/>
    </row>
    <row r="697" spans="1:6" ht="55.2" x14ac:dyDescent="0.25">
      <c r="A697" s="535"/>
      <c r="B697" s="248" t="s">
        <v>1114</v>
      </c>
      <c r="C697" s="266"/>
      <c r="D697" s="266"/>
      <c r="E697" s="320"/>
      <c r="F697" s="320"/>
    </row>
    <row r="698" spans="1:6" ht="13.8" x14ac:dyDescent="0.3">
      <c r="A698" s="220"/>
      <c r="B698" s="248"/>
      <c r="C698" s="300" t="s">
        <v>1053</v>
      </c>
      <c r="D698" s="300">
        <v>1</v>
      </c>
      <c r="E698" s="272"/>
      <c r="F698" s="273">
        <f>D698*E698</f>
        <v>0</v>
      </c>
    </row>
    <row r="699" spans="1:6" ht="13.8" x14ac:dyDescent="0.3">
      <c r="A699" s="220"/>
      <c r="B699" s="248"/>
      <c r="C699" s="300"/>
      <c r="D699" s="300"/>
      <c r="E699" s="331"/>
      <c r="F699" s="331"/>
    </row>
    <row r="700" spans="1:6" ht="13.8" x14ac:dyDescent="0.25">
      <c r="A700" s="434" t="s">
        <v>1359</v>
      </c>
      <c r="B700" s="333"/>
      <c r="C700" s="300"/>
      <c r="D700" s="300"/>
      <c r="E700" s="334"/>
      <c r="F700" s="334"/>
    </row>
    <row r="701" spans="1:6" ht="13.8" x14ac:dyDescent="0.3">
      <c r="A701" s="300"/>
      <c r="B701" s="333" t="s">
        <v>1117</v>
      </c>
      <c r="C701" s="336"/>
      <c r="D701" s="336"/>
      <c r="E701" s="337"/>
      <c r="F701" s="338"/>
    </row>
    <row r="702" spans="1:6" ht="13.8" x14ac:dyDescent="0.3">
      <c r="A702" s="300"/>
      <c r="B702" s="333"/>
      <c r="C702" s="300" t="s">
        <v>1053</v>
      </c>
      <c r="D702" s="300">
        <v>1</v>
      </c>
      <c r="E702" s="272"/>
      <c r="F702" s="273">
        <f>D702*E702</f>
        <v>0</v>
      </c>
    </row>
    <row r="703" spans="1:6" ht="13.8" x14ac:dyDescent="0.25">
      <c r="A703" s="300"/>
      <c r="B703" s="333"/>
      <c r="C703" s="300"/>
      <c r="D703" s="300"/>
      <c r="E703" s="334"/>
      <c r="F703" s="334"/>
    </row>
    <row r="704" spans="1:6" ht="13.8" x14ac:dyDescent="0.25">
      <c r="A704" s="300" t="s">
        <v>1360</v>
      </c>
      <c r="B704" s="333"/>
      <c r="C704" s="300"/>
      <c r="D704" s="300"/>
      <c r="E704" s="334"/>
      <c r="F704" s="334"/>
    </row>
    <row r="705" spans="1:6" ht="27.6" x14ac:dyDescent="0.25">
      <c r="A705" s="300"/>
      <c r="B705" s="333" t="s">
        <v>1119</v>
      </c>
      <c r="C705" s="300"/>
      <c r="D705" s="300"/>
      <c r="E705" s="334"/>
      <c r="F705" s="334"/>
    </row>
    <row r="706" spans="1:6" ht="13.8" x14ac:dyDescent="0.3">
      <c r="A706" s="300"/>
      <c r="B706" s="333"/>
      <c r="C706" s="300" t="s">
        <v>1053</v>
      </c>
      <c r="D706" s="300">
        <v>1</v>
      </c>
      <c r="E706" s="272"/>
      <c r="F706" s="273">
        <f>D706*E706</f>
        <v>0</v>
      </c>
    </row>
    <row r="707" spans="1:6" ht="13.8" x14ac:dyDescent="0.25">
      <c r="A707" s="300"/>
      <c r="B707" s="333"/>
      <c r="C707" s="300"/>
      <c r="D707" s="300"/>
      <c r="E707" s="334"/>
      <c r="F707" s="334"/>
    </row>
    <row r="708" spans="1:6" ht="13.8" x14ac:dyDescent="0.3">
      <c r="A708" s="339" t="s">
        <v>1361</v>
      </c>
      <c r="B708" s="283"/>
      <c r="C708" s="266"/>
      <c r="D708" s="266"/>
      <c r="E708" s="331"/>
      <c r="F708" s="331"/>
    </row>
    <row r="709" spans="1:6" ht="27.6" x14ac:dyDescent="0.3">
      <c r="A709" s="339"/>
      <c r="B709" s="283" t="s">
        <v>1121</v>
      </c>
      <c r="C709" s="266"/>
      <c r="D709" s="266"/>
      <c r="E709" s="331"/>
      <c r="F709" s="331"/>
    </row>
    <row r="710" spans="1:6" ht="13.8" x14ac:dyDescent="0.3">
      <c r="A710" s="339"/>
      <c r="B710" s="340"/>
      <c r="C710" s="266" t="s">
        <v>1053</v>
      </c>
      <c r="D710" s="266">
        <v>1</v>
      </c>
      <c r="E710" s="272"/>
      <c r="F710" s="273">
        <f>D710*E710</f>
        <v>0</v>
      </c>
    </row>
    <row r="711" spans="1:6" ht="13.8" x14ac:dyDescent="0.3">
      <c r="A711" s="339"/>
      <c r="B711" s="340"/>
      <c r="C711" s="266"/>
      <c r="D711" s="266"/>
      <c r="E711" s="331"/>
      <c r="F711" s="338"/>
    </row>
    <row r="712" spans="1:6" ht="13.8" x14ac:dyDescent="0.3">
      <c r="A712" s="339" t="s">
        <v>1362</v>
      </c>
      <c r="B712" s="283"/>
      <c r="C712" s="266"/>
      <c r="D712" s="314"/>
      <c r="E712" s="341"/>
      <c r="F712" s="341"/>
    </row>
    <row r="713" spans="1:6" ht="27.6" x14ac:dyDescent="0.3">
      <c r="A713" s="339"/>
      <c r="B713" s="283" t="s">
        <v>1123</v>
      </c>
      <c r="C713" s="266"/>
      <c r="D713" s="314"/>
      <c r="E713" s="341"/>
      <c r="F713" s="341"/>
    </row>
    <row r="714" spans="1:6" ht="13.8" x14ac:dyDescent="0.3">
      <c r="A714" s="220"/>
      <c r="B714" s="248"/>
      <c r="C714" s="186" t="s">
        <v>1053</v>
      </c>
      <c r="D714" s="186">
        <v>1</v>
      </c>
      <c r="E714" s="272"/>
      <c r="F714" s="273">
        <f>D714*E714</f>
        <v>0</v>
      </c>
    </row>
    <row r="715" spans="1:6" ht="13.8" x14ac:dyDescent="0.3">
      <c r="A715" s="220"/>
      <c r="B715" s="248"/>
      <c r="C715" s="186"/>
      <c r="D715" s="186"/>
      <c r="E715" s="331"/>
      <c r="F715" s="331"/>
    </row>
    <row r="716" spans="1:6" ht="13.8" x14ac:dyDescent="0.25">
      <c r="A716" s="437" t="s">
        <v>1363</v>
      </c>
      <c r="B716" s="274"/>
      <c r="C716" s="343"/>
      <c r="D716" s="343"/>
      <c r="E716" s="320"/>
      <c r="F716" s="320"/>
    </row>
    <row r="717" spans="1:6" ht="69" x14ac:dyDescent="0.3">
      <c r="A717" s="437"/>
      <c r="B717" s="274" t="s">
        <v>1125</v>
      </c>
      <c r="C717" s="329"/>
      <c r="D717" s="344"/>
      <c r="E717" s="320"/>
      <c r="F717" s="320"/>
    </row>
    <row r="718" spans="1:6" ht="13.8" x14ac:dyDescent="0.3">
      <c r="A718" s="437"/>
      <c r="B718" s="274"/>
      <c r="C718" s="344" t="s">
        <v>1053</v>
      </c>
      <c r="D718" s="344">
        <v>1</v>
      </c>
      <c r="E718" s="272"/>
      <c r="F718" s="273">
        <f>D718*E718</f>
        <v>0</v>
      </c>
    </row>
    <row r="719" spans="1:6" ht="13.8" x14ac:dyDescent="0.3">
      <c r="A719" s="220"/>
      <c r="B719" s="248"/>
      <c r="C719" s="186"/>
      <c r="D719" s="186"/>
      <c r="E719" s="331"/>
      <c r="F719" s="331"/>
    </row>
    <row r="720" spans="1:6" ht="13.8" x14ac:dyDescent="0.25">
      <c r="A720" s="437" t="s">
        <v>1364</v>
      </c>
      <c r="B720" s="274"/>
      <c r="C720" s="343"/>
      <c r="D720" s="343"/>
      <c r="E720" s="320"/>
      <c r="F720" s="320"/>
    </row>
    <row r="721" spans="1:6" ht="27.6" x14ac:dyDescent="0.25">
      <c r="A721" s="437"/>
      <c r="B721" s="274" t="s">
        <v>1365</v>
      </c>
      <c r="C721" s="343"/>
      <c r="D721" s="343"/>
      <c r="E721" s="320"/>
      <c r="F721" s="320"/>
    </row>
    <row r="722" spans="1:6" ht="13.8" x14ac:dyDescent="0.3">
      <c r="A722" s="437"/>
      <c r="B722" s="439"/>
      <c r="C722" s="343" t="s">
        <v>1053</v>
      </c>
      <c r="D722" s="343">
        <v>1</v>
      </c>
      <c r="E722" s="272"/>
      <c r="F722" s="273">
        <f>D722*E722</f>
        <v>0</v>
      </c>
    </row>
    <row r="723" spans="1:6" ht="13.8" x14ac:dyDescent="0.25">
      <c r="A723" s="437"/>
      <c r="B723" s="439"/>
      <c r="C723" s="343" t="s">
        <v>416</v>
      </c>
      <c r="D723" s="343"/>
      <c r="E723" s="320"/>
      <c r="F723" s="320"/>
    </row>
    <row r="724" spans="1:6" ht="13.8" x14ac:dyDescent="0.25">
      <c r="A724" s="437" t="s">
        <v>1366</v>
      </c>
      <c r="B724" s="274"/>
      <c r="C724" s="343"/>
      <c r="D724" s="343"/>
      <c r="E724" s="320"/>
      <c r="F724" s="320"/>
    </row>
    <row r="725" spans="1:6" ht="85.8" customHeight="1" x14ac:dyDescent="0.25">
      <c r="A725" s="437"/>
      <c r="B725" s="418" t="s">
        <v>1367</v>
      </c>
      <c r="C725" s="343"/>
      <c r="D725" s="343"/>
      <c r="E725" s="320"/>
      <c r="F725" s="320"/>
    </row>
    <row r="726" spans="1:6" ht="13.8" x14ac:dyDescent="0.3">
      <c r="A726" s="437"/>
      <c r="B726" s="439"/>
      <c r="C726" s="343" t="s">
        <v>1053</v>
      </c>
      <c r="D726" s="343">
        <v>1</v>
      </c>
      <c r="E726" s="272"/>
      <c r="F726" s="273">
        <f>D726*E726</f>
        <v>0</v>
      </c>
    </row>
    <row r="727" spans="1:6" ht="13.8" x14ac:dyDescent="0.3">
      <c r="A727" s="220"/>
      <c r="B727" s="248"/>
      <c r="C727" s="186"/>
      <c r="D727" s="186"/>
      <c r="E727" s="331"/>
      <c r="F727" s="331"/>
    </row>
    <row r="728" spans="1:6" ht="69" x14ac:dyDescent="0.3">
      <c r="A728" s="265" t="s">
        <v>1368</v>
      </c>
      <c r="B728" s="248" t="s">
        <v>1369</v>
      </c>
      <c r="C728" s="249"/>
      <c r="D728" s="249"/>
      <c r="E728" s="320"/>
      <c r="F728" s="320"/>
    </row>
    <row r="729" spans="1:6" ht="13.8" x14ac:dyDescent="0.3">
      <c r="A729" s="265"/>
      <c r="B729" s="248"/>
      <c r="C729" s="249" t="s">
        <v>1053</v>
      </c>
      <c r="D729" s="249">
        <v>1</v>
      </c>
      <c r="E729" s="272"/>
      <c r="F729" s="273">
        <f>D729*E729</f>
        <v>0</v>
      </c>
    </row>
    <row r="730" spans="1:6" ht="55.2" x14ac:dyDescent="0.3">
      <c r="A730" s="265"/>
      <c r="B730" s="248" t="s">
        <v>1128</v>
      </c>
      <c r="C730" s="249"/>
      <c r="D730" s="249"/>
      <c r="E730" s="320"/>
      <c r="F730" s="320"/>
    </row>
    <row r="731" spans="1:6" ht="13.8" x14ac:dyDescent="0.3">
      <c r="A731" s="265"/>
      <c r="B731" s="248"/>
      <c r="C731" s="249"/>
      <c r="D731" s="249"/>
      <c r="E731" s="331"/>
      <c r="F731" s="331"/>
    </row>
    <row r="732" spans="1:6" ht="13.8" x14ac:dyDescent="0.3">
      <c r="A732" s="440" t="s">
        <v>1370</v>
      </c>
      <c r="B732" s="324"/>
      <c r="C732" s="345"/>
      <c r="D732" s="345"/>
      <c r="E732" s="327"/>
      <c r="F732" s="327"/>
    </row>
    <row r="733" spans="1:6" ht="41.4" x14ac:dyDescent="0.3">
      <c r="A733" s="323"/>
      <c r="B733" s="324" t="s">
        <v>1130</v>
      </c>
      <c r="C733" s="345"/>
      <c r="D733" s="345"/>
      <c r="E733" s="327"/>
      <c r="F733" s="327"/>
    </row>
    <row r="734" spans="1:6" ht="13.8" x14ac:dyDescent="0.3">
      <c r="A734" s="323"/>
      <c r="B734" s="324"/>
      <c r="C734" s="325" t="s">
        <v>1053</v>
      </c>
      <c r="D734" s="325">
        <v>1</v>
      </c>
      <c r="E734" s="272"/>
      <c r="F734" s="273">
        <f>D734*E734</f>
        <v>0</v>
      </c>
    </row>
    <row r="735" spans="1:6" ht="13.8" x14ac:dyDescent="0.3">
      <c r="A735" s="265"/>
      <c r="B735" s="248"/>
      <c r="C735" s="265"/>
      <c r="D735" s="266"/>
      <c r="E735" s="320"/>
      <c r="F735" s="346"/>
    </row>
    <row r="736" spans="1:6" ht="69" x14ac:dyDescent="0.3">
      <c r="A736" s="265" t="s">
        <v>1371</v>
      </c>
      <c r="B736" s="248" t="s">
        <v>1131</v>
      </c>
      <c r="C736" s="265"/>
      <c r="D736" s="266"/>
      <c r="E736" s="346"/>
      <c r="F736" s="346"/>
    </row>
    <row r="737" spans="1:7" ht="13.8" x14ac:dyDescent="0.3">
      <c r="A737" s="443"/>
      <c r="B737" s="452"/>
      <c r="C737" s="325" t="s">
        <v>1053</v>
      </c>
      <c r="D737" s="325">
        <v>1</v>
      </c>
      <c r="E737" s="272"/>
      <c r="F737" s="273">
        <f>D737*E737</f>
        <v>0</v>
      </c>
    </row>
    <row r="738" spans="1:7" ht="13.8" x14ac:dyDescent="0.3">
      <c r="A738" s="536"/>
      <c r="B738" s="537"/>
      <c r="C738" s="538"/>
      <c r="D738" s="538"/>
      <c r="E738" s="522"/>
      <c r="F738" s="522"/>
    </row>
    <row r="739" spans="1:7" ht="31.2" x14ac:dyDescent="0.3">
      <c r="A739" s="495" t="s">
        <v>27</v>
      </c>
      <c r="B739" s="523" t="s">
        <v>1357</v>
      </c>
      <c r="C739" s="295"/>
      <c r="D739" s="295"/>
      <c r="E739" s="524"/>
      <c r="F739" s="525"/>
    </row>
    <row r="740" spans="1:7" ht="18" x14ac:dyDescent="0.3">
      <c r="A740" s="526"/>
      <c r="B740" s="520"/>
      <c r="C740" s="301"/>
      <c r="D740" s="301"/>
      <c r="E740" s="521"/>
      <c r="F740" s="527"/>
    </row>
    <row r="741" spans="1:7" ht="31.2" x14ac:dyDescent="0.35">
      <c r="A741" s="526"/>
      <c r="B741" s="490" t="s">
        <v>1141</v>
      </c>
      <c r="C741" s="301"/>
      <c r="D741" s="301"/>
      <c r="E741" s="528"/>
      <c r="F741" s="529">
        <f>SUM(F697:F737)</f>
        <v>0</v>
      </c>
    </row>
    <row r="742" spans="1:7" x14ac:dyDescent="0.25">
      <c r="A742" s="539"/>
      <c r="B742" s="4"/>
      <c r="C742" s="4"/>
      <c r="D742" s="4"/>
      <c r="E742" s="4"/>
      <c r="F742" s="540"/>
    </row>
    <row r="743" spans="1:7" x14ac:dyDescent="0.25">
      <c r="A743" s="541"/>
      <c r="B743" s="3"/>
      <c r="C743" s="3"/>
      <c r="D743" s="3"/>
      <c r="E743" s="3"/>
      <c r="F743" s="542"/>
    </row>
    <row r="746" spans="1:7" ht="15.6" x14ac:dyDescent="0.3">
      <c r="A746" s="543" t="s">
        <v>620</v>
      </c>
      <c r="B746" s="544" t="s">
        <v>1372</v>
      </c>
      <c r="C746" s="545"/>
      <c r="D746" s="545"/>
      <c r="E746" s="546"/>
      <c r="F746" s="547"/>
    </row>
    <row r="747" spans="1:7" ht="13.8" x14ac:dyDescent="0.25">
      <c r="A747" s="791" t="s">
        <v>1373</v>
      </c>
      <c r="B747" s="791"/>
      <c r="C747" s="791"/>
      <c r="D747" s="791"/>
      <c r="E747" s="791"/>
      <c r="F747" s="791"/>
    </row>
    <row r="748" spans="1:7" ht="13.8" x14ac:dyDescent="0.3">
      <c r="A748" s="247"/>
      <c r="B748" s="248"/>
      <c r="C748" s="249"/>
      <c r="D748" s="249"/>
      <c r="E748" s="548"/>
      <c r="F748" s="548"/>
    </row>
    <row r="749" spans="1:7" ht="13.8" x14ac:dyDescent="0.25">
      <c r="A749" s="549" t="s">
        <v>28</v>
      </c>
      <c r="B749" s="359" t="s">
        <v>1374</v>
      </c>
      <c r="C749" s="550"/>
      <c r="D749" s="550"/>
      <c r="E749" s="551"/>
      <c r="F749" s="551"/>
    </row>
    <row r="750" spans="1:7" ht="13.8" x14ac:dyDescent="0.25">
      <c r="A750" s="336"/>
      <c r="B750" s="274"/>
      <c r="C750" s="336"/>
      <c r="D750" s="336"/>
      <c r="E750" s="470"/>
      <c r="F750" s="470"/>
    </row>
    <row r="751" spans="1:7" ht="13.8" x14ac:dyDescent="0.25">
      <c r="A751" s="469" t="s">
        <v>1375</v>
      </c>
      <c r="B751" s="268"/>
      <c r="C751" s="469"/>
      <c r="D751" s="469"/>
      <c r="E751" s="470"/>
      <c r="F751" s="470"/>
    </row>
    <row r="752" spans="1:7" ht="103.2" customHeight="1" x14ac:dyDescent="0.3">
      <c r="A752" s="552"/>
      <c r="B752" s="553" t="s">
        <v>1376</v>
      </c>
      <c r="C752" s="554"/>
      <c r="D752" s="554"/>
      <c r="E752" s="555"/>
      <c r="F752" s="555"/>
      <c r="G752" s="806"/>
    </row>
    <row r="753" spans="1:7" ht="27.6" x14ac:dyDescent="0.3">
      <c r="A753" s="552"/>
      <c r="B753" s="553" t="s">
        <v>1377</v>
      </c>
      <c r="C753" s="554"/>
      <c r="D753" s="554"/>
      <c r="E753" s="555"/>
      <c r="F753" s="555"/>
      <c r="G753" s="806"/>
    </row>
    <row r="754" spans="1:7" ht="13.8" x14ac:dyDescent="0.3">
      <c r="A754" s="552"/>
      <c r="B754" s="553" t="s">
        <v>1378</v>
      </c>
      <c r="C754" s="554"/>
      <c r="D754" s="554"/>
      <c r="E754" s="555"/>
      <c r="F754" s="555"/>
      <c r="G754" s="806"/>
    </row>
    <row r="755" spans="1:7" ht="13.8" x14ac:dyDescent="0.3">
      <c r="A755" s="552"/>
      <c r="B755" s="553" t="s">
        <v>1379</v>
      </c>
      <c r="C755" s="554"/>
      <c r="D755" s="554"/>
      <c r="E755" s="555"/>
      <c r="F755" s="555"/>
      <c r="G755" s="806"/>
    </row>
    <row r="756" spans="1:7" ht="13.8" x14ac:dyDescent="0.3">
      <c r="A756" s="552"/>
      <c r="B756" s="553" t="s">
        <v>1380</v>
      </c>
      <c r="C756" s="554"/>
      <c r="D756" s="554"/>
      <c r="E756" s="555"/>
      <c r="F756" s="555"/>
      <c r="G756" s="806"/>
    </row>
    <row r="757" spans="1:7" ht="13.8" x14ac:dyDescent="0.3">
      <c r="A757" s="552"/>
      <c r="B757" s="553" t="s">
        <v>1381</v>
      </c>
      <c r="C757" s="554"/>
      <c r="D757" s="554"/>
      <c r="E757" s="555"/>
      <c r="F757" s="555"/>
      <c r="G757" s="806"/>
    </row>
    <row r="758" spans="1:7" ht="13.8" x14ac:dyDescent="0.3">
      <c r="A758" s="552"/>
      <c r="B758" s="553" t="s">
        <v>1382</v>
      </c>
      <c r="C758" s="554"/>
      <c r="D758" s="554"/>
      <c r="E758" s="555"/>
      <c r="F758" s="555"/>
      <c r="G758" s="806"/>
    </row>
    <row r="759" spans="1:7" ht="13.8" x14ac:dyDescent="0.3">
      <c r="A759" s="552"/>
      <c r="B759" s="553"/>
      <c r="C759" s="554"/>
      <c r="D759" s="554"/>
      <c r="E759" s="467"/>
      <c r="F759" s="467"/>
      <c r="G759" s="806"/>
    </row>
    <row r="760" spans="1:7" ht="21.6" customHeight="1" x14ac:dyDescent="0.3">
      <c r="A760" s="552"/>
      <c r="B760" s="553" t="s">
        <v>1822</v>
      </c>
      <c r="C760" s="554"/>
      <c r="D760" s="554"/>
      <c r="E760" s="467"/>
      <c r="F760" s="467"/>
      <c r="G760" s="806"/>
    </row>
    <row r="761" spans="1:7" ht="151.80000000000001" x14ac:dyDescent="0.3">
      <c r="A761" s="556"/>
      <c r="B761" s="709" t="s">
        <v>1383</v>
      </c>
      <c r="C761" s="557"/>
      <c r="D761" s="557"/>
      <c r="E761" s="558"/>
      <c r="F761" s="558"/>
      <c r="G761" s="806"/>
    </row>
    <row r="762" spans="1:7" ht="41.4" x14ac:dyDescent="0.3">
      <c r="A762" s="556"/>
      <c r="B762" s="709" t="s">
        <v>1823</v>
      </c>
      <c r="C762" s="557"/>
      <c r="D762" s="557"/>
      <c r="E762" s="558"/>
      <c r="F762" s="558"/>
      <c r="G762" s="806"/>
    </row>
    <row r="763" spans="1:7" ht="13.8" x14ac:dyDescent="0.3">
      <c r="A763" s="322"/>
      <c r="B763" s="557"/>
      <c r="C763" s="559" t="s">
        <v>1053</v>
      </c>
      <c r="D763" s="559">
        <v>1</v>
      </c>
      <c r="E763" s="272"/>
      <c r="F763" s="273">
        <f>D763*E763</f>
        <v>0</v>
      </c>
    </row>
    <row r="764" spans="1:7" ht="13.8" x14ac:dyDescent="0.25">
      <c r="A764" s="560"/>
      <c r="B764" s="418"/>
      <c r="C764" s="561"/>
      <c r="D764" s="561"/>
      <c r="E764" s="562"/>
      <c r="F764" s="562"/>
    </row>
    <row r="765" spans="1:7" ht="13.8" x14ac:dyDescent="0.25">
      <c r="A765" s="560"/>
      <c r="B765" s="563" t="s">
        <v>404</v>
      </c>
      <c r="C765" s="561"/>
      <c r="D765" s="561"/>
      <c r="E765" s="562"/>
      <c r="F765" s="562"/>
    </row>
    <row r="766" spans="1:7" ht="110.4" x14ac:dyDescent="0.25">
      <c r="A766" s="560"/>
      <c r="B766" s="563" t="s">
        <v>1384</v>
      </c>
      <c r="C766" s="561"/>
      <c r="D766" s="561"/>
      <c r="E766" s="561"/>
      <c r="F766" s="561"/>
    </row>
    <row r="767" spans="1:7" ht="13.8" x14ac:dyDescent="0.25">
      <c r="A767" s="560"/>
      <c r="B767" s="563"/>
      <c r="C767" s="561"/>
      <c r="D767" s="561"/>
      <c r="E767" s="561"/>
      <c r="F767" s="561"/>
    </row>
    <row r="768" spans="1:7" ht="13.8" x14ac:dyDescent="0.25">
      <c r="A768" s="266" t="s">
        <v>1385</v>
      </c>
      <c r="B768" s="563"/>
      <c r="C768" s="561"/>
      <c r="D768" s="561"/>
      <c r="E768" s="561"/>
      <c r="F768" s="561"/>
    </row>
    <row r="769" spans="1:7" ht="122.4" customHeight="1" x14ac:dyDescent="0.25">
      <c r="A769" s="266"/>
      <c r="B769" s="418" t="s">
        <v>1824</v>
      </c>
      <c r="C769" s="561"/>
      <c r="D769" s="561"/>
      <c r="E769" s="561"/>
      <c r="F769" s="561"/>
      <c r="G769" s="693"/>
    </row>
    <row r="770" spans="1:7" ht="13.8" x14ac:dyDescent="0.25">
      <c r="A770" s="266"/>
      <c r="B770" s="563"/>
      <c r="C770" s="561"/>
      <c r="D770" s="561"/>
      <c r="E770" s="561"/>
      <c r="F770" s="561"/>
    </row>
    <row r="771" spans="1:7" ht="64.8" customHeight="1" x14ac:dyDescent="0.25">
      <c r="A771" s="266"/>
      <c r="B771" s="710" t="s">
        <v>1386</v>
      </c>
      <c r="C771" s="561"/>
      <c r="D771" s="561"/>
      <c r="E771" s="561"/>
      <c r="F771" s="561"/>
    </row>
    <row r="772" spans="1:7" ht="13.8" x14ac:dyDescent="0.3">
      <c r="A772" s="266"/>
      <c r="B772" s="563"/>
      <c r="C772" s="561" t="s">
        <v>1053</v>
      </c>
      <c r="D772" s="561">
        <v>1</v>
      </c>
      <c r="E772" s="272"/>
      <c r="F772" s="273">
        <f>D772*E772</f>
        <v>0</v>
      </c>
    </row>
    <row r="773" spans="1:7" ht="13.8" x14ac:dyDescent="0.3">
      <c r="A773" s="556"/>
      <c r="B773" s="418"/>
      <c r="C773" s="564"/>
      <c r="D773" s="564"/>
      <c r="E773" s="338"/>
      <c r="F773" s="338"/>
    </row>
    <row r="774" spans="1:7" ht="27.6" x14ac:dyDescent="0.3">
      <c r="A774" s="565" t="s">
        <v>1387</v>
      </c>
      <c r="B774" s="408" t="s">
        <v>1388</v>
      </c>
      <c r="C774" s="564"/>
      <c r="D774" s="564"/>
      <c r="E774" s="338"/>
      <c r="F774" s="338"/>
    </row>
    <row r="775" spans="1:7" ht="13.8" x14ac:dyDescent="0.3">
      <c r="A775" s="556"/>
      <c r="B775" s="418" t="s">
        <v>1389</v>
      </c>
      <c r="C775" s="566" t="s">
        <v>86</v>
      </c>
      <c r="D775" s="564">
        <v>1</v>
      </c>
      <c r="E775" s="272"/>
      <c r="F775" s="273">
        <f>D775*E775</f>
        <v>0</v>
      </c>
    </row>
    <row r="776" spans="1:7" ht="13.8" x14ac:dyDescent="0.3">
      <c r="A776" s="556"/>
      <c r="B776" s="418"/>
      <c r="C776" s="566"/>
      <c r="D776" s="564"/>
      <c r="E776" s="338"/>
      <c r="F776" s="338"/>
    </row>
    <row r="777" spans="1:7" ht="13.8" x14ac:dyDescent="0.25">
      <c r="A777" s="336" t="s">
        <v>1390</v>
      </c>
      <c r="B777" s="268"/>
      <c r="C777" s="336"/>
      <c r="D777" s="336"/>
      <c r="E777" s="470"/>
      <c r="F777" s="470"/>
    </row>
    <row r="778" spans="1:7" ht="63.6" customHeight="1" x14ac:dyDescent="0.3">
      <c r="A778" s="567"/>
      <c r="B778" s="568" t="s">
        <v>1391</v>
      </c>
      <c r="C778" s="569"/>
      <c r="D778" s="570"/>
      <c r="E778" s="571"/>
      <c r="F778" s="572"/>
    </row>
    <row r="779" spans="1:7" ht="72.599999999999994" customHeight="1" x14ac:dyDescent="0.3">
      <c r="A779" s="567"/>
      <c r="B779" s="268" t="s">
        <v>1392</v>
      </c>
      <c r="C779" s="569"/>
      <c r="D779" s="570"/>
      <c r="E779" s="571"/>
      <c r="F779" s="572"/>
    </row>
    <row r="780" spans="1:7" ht="100.8" customHeight="1" x14ac:dyDescent="0.3">
      <c r="A780" s="567"/>
      <c r="B780" s="268" t="s">
        <v>1393</v>
      </c>
      <c r="C780" s="569"/>
      <c r="D780" s="570"/>
      <c r="E780" s="571"/>
      <c r="F780" s="572"/>
    </row>
    <row r="781" spans="1:7" ht="13.8" x14ac:dyDescent="0.3">
      <c r="A781" s="567"/>
      <c r="B781" s="268"/>
      <c r="C781" s="569"/>
      <c r="D781" s="570"/>
      <c r="E781" s="571"/>
      <c r="F781" s="572"/>
    </row>
    <row r="782" spans="1:7" ht="13.8" x14ac:dyDescent="0.25">
      <c r="A782" s="469" t="s">
        <v>1394</v>
      </c>
      <c r="B782" s="573" t="s">
        <v>1395</v>
      </c>
      <c r="C782" s="469"/>
      <c r="D782" s="469"/>
      <c r="E782" s="470"/>
      <c r="F782" s="470"/>
    </row>
    <row r="783" spans="1:7" ht="13.8" x14ac:dyDescent="0.25">
      <c r="A783" s="469"/>
      <c r="B783" s="574"/>
      <c r="C783" s="469"/>
      <c r="D783" s="469"/>
      <c r="E783" s="470"/>
      <c r="F783" s="470"/>
    </row>
    <row r="784" spans="1:7" ht="13.8" x14ac:dyDescent="0.3">
      <c r="A784" s="567"/>
      <c r="B784" s="283" t="s">
        <v>1396</v>
      </c>
      <c r="C784" s="569"/>
      <c r="D784" s="570"/>
      <c r="E784" s="571"/>
      <c r="F784" s="572"/>
    </row>
    <row r="785" spans="1:6" ht="13.8" x14ac:dyDescent="0.3">
      <c r="A785" s="567"/>
      <c r="B785" s="568" t="s">
        <v>1397</v>
      </c>
      <c r="C785" s="575" t="s">
        <v>19</v>
      </c>
      <c r="D785" s="576">
        <v>15</v>
      </c>
      <c r="E785" s="272"/>
      <c r="F785" s="273">
        <f>D785*E785</f>
        <v>0</v>
      </c>
    </row>
    <row r="786" spans="1:6" ht="13.8" x14ac:dyDescent="0.25">
      <c r="A786" s="469"/>
      <c r="B786" s="574"/>
      <c r="C786" s="469"/>
      <c r="D786" s="469"/>
      <c r="E786" s="470"/>
      <c r="F786" s="470"/>
    </row>
    <row r="787" spans="1:6" ht="13.8" x14ac:dyDescent="0.3">
      <c r="A787" s="567"/>
      <c r="B787" s="568" t="s">
        <v>1398</v>
      </c>
      <c r="C787" s="577"/>
      <c r="D787" s="576"/>
      <c r="E787" s="571"/>
      <c r="F787" s="578"/>
    </row>
    <row r="788" spans="1:6" ht="13.8" x14ac:dyDescent="0.3">
      <c r="A788" s="567"/>
      <c r="B788" s="568" t="s">
        <v>1399</v>
      </c>
      <c r="C788" s="577" t="s">
        <v>867</v>
      </c>
      <c r="D788" s="576">
        <v>1</v>
      </c>
      <c r="E788" s="272"/>
      <c r="F788" s="273">
        <f>D788*E788</f>
        <v>0</v>
      </c>
    </row>
    <row r="789" spans="1:6" ht="13.8" x14ac:dyDescent="0.3">
      <c r="A789" s="567"/>
      <c r="B789" s="568"/>
      <c r="C789" s="577"/>
      <c r="D789" s="576"/>
      <c r="E789" s="571"/>
      <c r="F789" s="578"/>
    </row>
    <row r="790" spans="1:6" ht="27.6" x14ac:dyDescent="0.3">
      <c r="A790" s="567"/>
      <c r="B790" s="568" t="s">
        <v>1400</v>
      </c>
      <c r="C790" s="577" t="s">
        <v>1053</v>
      </c>
      <c r="D790" s="576">
        <v>1</v>
      </c>
      <c r="E790" s="272"/>
      <c r="F790" s="273">
        <f>D790*E790</f>
        <v>0</v>
      </c>
    </row>
    <row r="791" spans="1:6" ht="13.8" x14ac:dyDescent="0.3">
      <c r="A791" s="567"/>
      <c r="B791" s="568"/>
      <c r="C791" s="577"/>
      <c r="D791" s="576"/>
      <c r="E791" s="571"/>
      <c r="F791" s="578"/>
    </row>
    <row r="792" spans="1:6" ht="13.8" x14ac:dyDescent="0.25">
      <c r="A792" s="266"/>
      <c r="B792" s="573" t="s">
        <v>404</v>
      </c>
      <c r="C792" s="266"/>
      <c r="D792" s="266"/>
      <c r="E792" s="320"/>
      <c r="F792" s="320"/>
    </row>
    <row r="793" spans="1:6" ht="45.6" customHeight="1" x14ac:dyDescent="0.25">
      <c r="A793" s="266"/>
      <c r="B793" s="573" t="s">
        <v>1401</v>
      </c>
      <c r="C793" s="266"/>
      <c r="D793" s="266"/>
      <c r="E793" s="281"/>
      <c r="F793" s="281"/>
    </row>
    <row r="794" spans="1:6" ht="13.8" x14ac:dyDescent="0.25">
      <c r="A794" s="301"/>
      <c r="B794" s="579"/>
      <c r="C794" s="301"/>
      <c r="D794" s="301"/>
      <c r="E794" s="313"/>
      <c r="F794" s="313"/>
    </row>
    <row r="795" spans="1:6" ht="13.8" x14ac:dyDescent="0.25">
      <c r="A795" s="580" t="s">
        <v>1402</v>
      </c>
      <c r="B795" s="581" t="s">
        <v>1403</v>
      </c>
      <c r="C795" s="582"/>
      <c r="D795" s="582"/>
      <c r="E795" s="583"/>
      <c r="F795" s="583"/>
    </row>
    <row r="796" spans="1:6" ht="13.8" x14ac:dyDescent="0.25">
      <c r="A796" s="336"/>
      <c r="B796" s="268"/>
      <c r="C796" s="336"/>
      <c r="D796" s="336"/>
      <c r="E796" s="470"/>
      <c r="F796" s="470"/>
    </row>
    <row r="797" spans="1:6" ht="13.8" x14ac:dyDescent="0.3">
      <c r="A797" s="584"/>
      <c r="B797" s="585" t="s">
        <v>1404</v>
      </c>
      <c r="C797" s="586"/>
      <c r="D797" s="587"/>
      <c r="E797" s="588"/>
      <c r="F797" s="589"/>
    </row>
    <row r="798" spans="1:6" ht="13.8" x14ac:dyDescent="0.3">
      <c r="A798" s="590" t="s">
        <v>1270</v>
      </c>
      <c r="B798" s="513" t="s">
        <v>1405</v>
      </c>
      <c r="C798" s="575" t="s">
        <v>19</v>
      </c>
      <c r="D798" s="591">
        <v>30</v>
      </c>
      <c r="E798" s="272"/>
      <c r="F798" s="273">
        <f t="shared" ref="F798:F807" si="8">D798*E798</f>
        <v>0</v>
      </c>
    </row>
    <row r="799" spans="1:6" ht="13.8" x14ac:dyDescent="0.3">
      <c r="A799" s="590" t="s">
        <v>1355</v>
      </c>
      <c r="B799" s="513" t="s">
        <v>1406</v>
      </c>
      <c r="C799" s="575" t="s">
        <v>19</v>
      </c>
      <c r="D799" s="591">
        <v>30</v>
      </c>
      <c r="E799" s="272"/>
      <c r="F799" s="273">
        <f t="shared" si="8"/>
        <v>0</v>
      </c>
    </row>
    <row r="800" spans="1:6" ht="13.8" x14ac:dyDescent="0.3">
      <c r="A800" s="590" t="s">
        <v>1407</v>
      </c>
      <c r="B800" s="513" t="s">
        <v>1408</v>
      </c>
      <c r="C800" s="575" t="s">
        <v>19</v>
      </c>
      <c r="D800" s="591">
        <v>40</v>
      </c>
      <c r="E800" s="272"/>
      <c r="F800" s="273">
        <f t="shared" si="8"/>
        <v>0</v>
      </c>
    </row>
    <row r="801" spans="1:6" ht="13.8" x14ac:dyDescent="0.3">
      <c r="A801" s="590" t="s">
        <v>1409</v>
      </c>
      <c r="B801" s="513" t="s">
        <v>1410</v>
      </c>
      <c r="C801" s="575" t="s">
        <v>19</v>
      </c>
      <c r="D801" s="591">
        <v>20</v>
      </c>
      <c r="E801" s="272"/>
      <c r="F801" s="273">
        <f t="shared" si="8"/>
        <v>0</v>
      </c>
    </row>
    <row r="802" spans="1:6" ht="13.8" x14ac:dyDescent="0.3">
      <c r="A802" s="590" t="s">
        <v>1411</v>
      </c>
      <c r="B802" s="513" t="s">
        <v>1412</v>
      </c>
      <c r="C802" s="575" t="s">
        <v>19</v>
      </c>
      <c r="D802" s="591">
        <v>90</v>
      </c>
      <c r="E802" s="272"/>
      <c r="F802" s="273">
        <f t="shared" si="8"/>
        <v>0</v>
      </c>
    </row>
    <row r="803" spans="1:6" ht="13.8" x14ac:dyDescent="0.3">
      <c r="A803" s="590" t="s">
        <v>1413</v>
      </c>
      <c r="B803" s="513" t="s">
        <v>1414</v>
      </c>
      <c r="C803" s="575" t="s">
        <v>19</v>
      </c>
      <c r="D803" s="591">
        <v>25</v>
      </c>
      <c r="E803" s="272"/>
      <c r="F803" s="273">
        <f t="shared" si="8"/>
        <v>0</v>
      </c>
    </row>
    <row r="804" spans="1:6" ht="13.8" x14ac:dyDescent="0.3">
      <c r="A804" s="590" t="s">
        <v>1415</v>
      </c>
      <c r="B804" s="513" t="s">
        <v>1416</v>
      </c>
      <c r="C804" s="575" t="s">
        <v>19</v>
      </c>
      <c r="D804" s="591">
        <v>20</v>
      </c>
      <c r="E804" s="272"/>
      <c r="F804" s="273">
        <f t="shared" si="8"/>
        <v>0</v>
      </c>
    </row>
    <row r="805" spans="1:6" ht="13.8" x14ac:dyDescent="0.3">
      <c r="A805" s="590" t="s">
        <v>1417</v>
      </c>
      <c r="B805" s="513" t="s">
        <v>1418</v>
      </c>
      <c r="C805" s="575" t="s">
        <v>19</v>
      </c>
      <c r="D805" s="591">
        <v>130</v>
      </c>
      <c r="E805" s="272"/>
      <c r="F805" s="273">
        <f t="shared" si="8"/>
        <v>0</v>
      </c>
    </row>
    <row r="806" spans="1:6" ht="13.8" x14ac:dyDescent="0.3">
      <c r="A806" s="590" t="s">
        <v>1419</v>
      </c>
      <c r="B806" s="513" t="s">
        <v>1420</v>
      </c>
      <c r="C806" s="575" t="s">
        <v>19</v>
      </c>
      <c r="D806" s="591">
        <v>15</v>
      </c>
      <c r="E806" s="272"/>
      <c r="F806" s="273">
        <f t="shared" si="8"/>
        <v>0</v>
      </c>
    </row>
    <row r="807" spans="1:6" ht="13.8" x14ac:dyDescent="0.3">
      <c r="A807" s="590" t="s">
        <v>1421</v>
      </c>
      <c r="B807" s="513" t="s">
        <v>1422</v>
      </c>
      <c r="C807" s="575" t="s">
        <v>19</v>
      </c>
      <c r="D807" s="591">
        <v>50</v>
      </c>
      <c r="E807" s="272"/>
      <c r="F807" s="273">
        <f t="shared" si="8"/>
        <v>0</v>
      </c>
    </row>
    <row r="808" spans="1:6" ht="13.8" x14ac:dyDescent="0.3">
      <c r="A808" s="473"/>
      <c r="B808" s="592"/>
      <c r="C808" s="480"/>
      <c r="D808" s="481"/>
      <c r="E808" s="593"/>
      <c r="F808" s="593"/>
    </row>
    <row r="809" spans="1:6" ht="13.8" x14ac:dyDescent="0.3">
      <c r="A809" s="473"/>
      <c r="B809" s="594" t="s">
        <v>1276</v>
      </c>
      <c r="C809" s="480"/>
      <c r="D809" s="481"/>
      <c r="E809" s="593"/>
      <c r="F809" s="593"/>
    </row>
    <row r="810" spans="1:6" ht="13.8" x14ac:dyDescent="0.3">
      <c r="A810" s="590" t="s">
        <v>1270</v>
      </c>
      <c r="B810" s="592" t="s">
        <v>1423</v>
      </c>
      <c r="C810" s="595" t="s">
        <v>867</v>
      </c>
      <c r="D810" s="481">
        <v>4</v>
      </c>
      <c r="E810" s="272"/>
      <c r="F810" s="273">
        <f t="shared" ref="F810:F840" si="9">D810*E810</f>
        <v>0</v>
      </c>
    </row>
    <row r="811" spans="1:6" ht="13.8" x14ac:dyDescent="0.3">
      <c r="A811" s="590" t="s">
        <v>1355</v>
      </c>
      <c r="B811" s="592" t="s">
        <v>1424</v>
      </c>
      <c r="C811" s="595" t="s">
        <v>867</v>
      </c>
      <c r="D811" s="481">
        <v>8</v>
      </c>
      <c r="E811" s="272"/>
      <c r="F811" s="273">
        <f t="shared" si="9"/>
        <v>0</v>
      </c>
    </row>
    <row r="812" spans="1:6" ht="13.8" x14ac:dyDescent="0.3">
      <c r="A812" s="590" t="s">
        <v>1407</v>
      </c>
      <c r="B812" s="592" t="s">
        <v>1425</v>
      </c>
      <c r="C812" s="595" t="s">
        <v>867</v>
      </c>
      <c r="D812" s="481">
        <v>28</v>
      </c>
      <c r="E812" s="272"/>
      <c r="F812" s="273">
        <f t="shared" si="9"/>
        <v>0</v>
      </c>
    </row>
    <row r="813" spans="1:6" ht="13.8" x14ac:dyDescent="0.3">
      <c r="A813" s="590" t="s">
        <v>1409</v>
      </c>
      <c r="B813" s="592" t="s">
        <v>1426</v>
      </c>
      <c r="C813" s="595" t="s">
        <v>867</v>
      </c>
      <c r="D813" s="481">
        <v>8</v>
      </c>
      <c r="E813" s="272"/>
      <c r="F813" s="273">
        <f t="shared" si="9"/>
        <v>0</v>
      </c>
    </row>
    <row r="814" spans="1:6" ht="13.8" x14ac:dyDescent="0.3">
      <c r="A814" s="590" t="s">
        <v>1411</v>
      </c>
      <c r="B814" s="592" t="s">
        <v>1427</v>
      </c>
      <c r="C814" s="595" t="s">
        <v>867</v>
      </c>
      <c r="D814" s="481">
        <v>52</v>
      </c>
      <c r="E814" s="272"/>
      <c r="F814" s="273">
        <f t="shared" si="9"/>
        <v>0</v>
      </c>
    </row>
    <row r="815" spans="1:6" ht="13.8" x14ac:dyDescent="0.3">
      <c r="A815" s="590" t="s">
        <v>1413</v>
      </c>
      <c r="B815" s="592" t="s">
        <v>1428</v>
      </c>
      <c r="C815" s="595" t="s">
        <v>867</v>
      </c>
      <c r="D815" s="481">
        <v>2</v>
      </c>
      <c r="E815" s="272"/>
      <c r="F815" s="273">
        <f t="shared" si="9"/>
        <v>0</v>
      </c>
    </row>
    <row r="816" spans="1:6" ht="13.8" x14ac:dyDescent="0.3">
      <c r="A816" s="590" t="s">
        <v>1415</v>
      </c>
      <c r="B816" s="592" t="s">
        <v>1429</v>
      </c>
      <c r="C816" s="595" t="s">
        <v>867</v>
      </c>
      <c r="D816" s="481">
        <v>30</v>
      </c>
      <c r="E816" s="272"/>
      <c r="F816" s="273">
        <f t="shared" si="9"/>
        <v>0</v>
      </c>
    </row>
    <row r="817" spans="1:6" ht="13.8" x14ac:dyDescent="0.3">
      <c r="A817" s="590" t="s">
        <v>1417</v>
      </c>
      <c r="B817" s="592" t="s">
        <v>1430</v>
      </c>
      <c r="C817" s="595" t="s">
        <v>867</v>
      </c>
      <c r="D817" s="481">
        <v>4</v>
      </c>
      <c r="E817" s="272"/>
      <c r="F817" s="273">
        <f t="shared" si="9"/>
        <v>0</v>
      </c>
    </row>
    <row r="818" spans="1:6" ht="13.8" x14ac:dyDescent="0.3">
      <c r="A818" s="590" t="s">
        <v>1419</v>
      </c>
      <c r="B818" s="592" t="s">
        <v>1431</v>
      </c>
      <c r="C818" s="595" t="s">
        <v>867</v>
      </c>
      <c r="D818" s="481">
        <v>4</v>
      </c>
      <c r="E818" s="272"/>
      <c r="F818" s="273">
        <f t="shared" si="9"/>
        <v>0</v>
      </c>
    </row>
    <row r="819" spans="1:6" ht="13.8" x14ac:dyDescent="0.3">
      <c r="A819" s="590" t="s">
        <v>1421</v>
      </c>
      <c r="B819" s="592" t="s">
        <v>1432</v>
      </c>
      <c r="C819" s="595" t="s">
        <v>867</v>
      </c>
      <c r="D819" s="481">
        <v>14</v>
      </c>
      <c r="E819" s="272"/>
      <c r="F819" s="273">
        <f t="shared" si="9"/>
        <v>0</v>
      </c>
    </row>
    <row r="820" spans="1:6" ht="13.8" x14ac:dyDescent="0.3">
      <c r="A820" s="590" t="s">
        <v>1433</v>
      </c>
      <c r="B820" s="592" t="s">
        <v>1434</v>
      </c>
      <c r="C820" s="595" t="s">
        <v>867</v>
      </c>
      <c r="D820" s="481">
        <v>6</v>
      </c>
      <c r="E820" s="272"/>
      <c r="F820" s="273">
        <f t="shared" si="9"/>
        <v>0</v>
      </c>
    </row>
    <row r="821" spans="1:6" ht="13.8" x14ac:dyDescent="0.3">
      <c r="A821" s="590" t="s">
        <v>1435</v>
      </c>
      <c r="B821" s="592" t="s">
        <v>1436</v>
      </c>
      <c r="C821" s="595" t="s">
        <v>867</v>
      </c>
      <c r="D821" s="481">
        <v>14</v>
      </c>
      <c r="E821" s="272"/>
      <c r="F821" s="273">
        <f t="shared" si="9"/>
        <v>0</v>
      </c>
    </row>
    <row r="822" spans="1:6" ht="13.8" x14ac:dyDescent="0.3">
      <c r="A822" s="590" t="s">
        <v>1437</v>
      </c>
      <c r="B822" s="592" t="s">
        <v>1438</v>
      </c>
      <c r="C822" s="595" t="s">
        <v>867</v>
      </c>
      <c r="D822" s="481">
        <v>6</v>
      </c>
      <c r="E822" s="272"/>
      <c r="F822" s="273">
        <f t="shared" si="9"/>
        <v>0</v>
      </c>
    </row>
    <row r="823" spans="1:6" ht="13.8" x14ac:dyDescent="0.3">
      <c r="A823" s="590" t="s">
        <v>1439</v>
      </c>
      <c r="B823" s="592" t="s">
        <v>1440</v>
      </c>
      <c r="C823" s="595" t="s">
        <v>867</v>
      </c>
      <c r="D823" s="481">
        <v>2</v>
      </c>
      <c r="E823" s="272"/>
      <c r="F823" s="273">
        <f t="shared" si="9"/>
        <v>0</v>
      </c>
    </row>
    <row r="824" spans="1:6" ht="13.8" x14ac:dyDescent="0.3">
      <c r="A824" s="590" t="s">
        <v>1441</v>
      </c>
      <c r="B824" s="592" t="s">
        <v>1442</v>
      </c>
      <c r="C824" s="595" t="s">
        <v>867</v>
      </c>
      <c r="D824" s="481">
        <v>6</v>
      </c>
      <c r="E824" s="272"/>
      <c r="F824" s="273">
        <f t="shared" si="9"/>
        <v>0</v>
      </c>
    </row>
    <row r="825" spans="1:6" ht="13.8" x14ac:dyDescent="0.3">
      <c r="A825" s="590" t="s">
        <v>1443</v>
      </c>
      <c r="B825" s="592" t="s">
        <v>1444</v>
      </c>
      <c r="C825" s="595" t="s">
        <v>867</v>
      </c>
      <c r="D825" s="481">
        <v>6</v>
      </c>
      <c r="E825" s="272"/>
      <c r="F825" s="273">
        <f t="shared" si="9"/>
        <v>0</v>
      </c>
    </row>
    <row r="826" spans="1:6" ht="13.8" x14ac:dyDescent="0.3">
      <c r="A826" s="590" t="s">
        <v>1445</v>
      </c>
      <c r="B826" s="592" t="s">
        <v>1446</v>
      </c>
      <c r="C826" s="595" t="s">
        <v>867</v>
      </c>
      <c r="D826" s="481">
        <v>2</v>
      </c>
      <c r="E826" s="272"/>
      <c r="F826" s="273">
        <f t="shared" si="9"/>
        <v>0</v>
      </c>
    </row>
    <row r="827" spans="1:6" ht="13.8" x14ac:dyDescent="0.3">
      <c r="A827" s="590" t="s">
        <v>1447</v>
      </c>
      <c r="B827" s="592" t="s">
        <v>1448</v>
      </c>
      <c r="C827" s="595" t="s">
        <v>867</v>
      </c>
      <c r="D827" s="481">
        <v>4</v>
      </c>
      <c r="E827" s="272"/>
      <c r="F827" s="273">
        <f t="shared" si="9"/>
        <v>0</v>
      </c>
    </row>
    <row r="828" spans="1:6" ht="13.8" x14ac:dyDescent="0.3">
      <c r="A828" s="590" t="s">
        <v>1449</v>
      </c>
      <c r="B828" s="592" t="s">
        <v>1450</v>
      </c>
      <c r="C828" s="595" t="s">
        <v>867</v>
      </c>
      <c r="D828" s="481">
        <v>4</v>
      </c>
      <c r="E828" s="272"/>
      <c r="F828" s="273">
        <f t="shared" si="9"/>
        <v>0</v>
      </c>
    </row>
    <row r="829" spans="1:6" ht="13.8" x14ac:dyDescent="0.3">
      <c r="A829" s="590" t="s">
        <v>1451</v>
      </c>
      <c r="B829" s="592" t="s">
        <v>1452</v>
      </c>
      <c r="C829" s="595" t="s">
        <v>867</v>
      </c>
      <c r="D829" s="481">
        <v>2</v>
      </c>
      <c r="E829" s="272"/>
      <c r="F829" s="273">
        <f t="shared" si="9"/>
        <v>0</v>
      </c>
    </row>
    <row r="830" spans="1:6" ht="13.8" x14ac:dyDescent="0.3">
      <c r="A830" s="590" t="s">
        <v>1453</v>
      </c>
      <c r="B830" s="592" t="s">
        <v>1454</v>
      </c>
      <c r="C830" s="595" t="s">
        <v>867</v>
      </c>
      <c r="D830" s="481">
        <v>2</v>
      </c>
      <c r="E830" s="272"/>
      <c r="F830" s="273">
        <f t="shared" si="9"/>
        <v>0</v>
      </c>
    </row>
    <row r="831" spans="1:6" ht="13.8" x14ac:dyDescent="0.3">
      <c r="A831" s="590" t="s">
        <v>1455</v>
      </c>
      <c r="B831" s="592" t="s">
        <v>1456</v>
      </c>
      <c r="C831" s="595" t="s">
        <v>867</v>
      </c>
      <c r="D831" s="481">
        <v>2</v>
      </c>
      <c r="E831" s="272"/>
      <c r="F831" s="273">
        <f t="shared" si="9"/>
        <v>0</v>
      </c>
    </row>
    <row r="832" spans="1:6" ht="13.8" x14ac:dyDescent="0.3">
      <c r="A832" s="590" t="s">
        <v>1457</v>
      </c>
      <c r="B832" s="592" t="s">
        <v>1458</v>
      </c>
      <c r="C832" s="595" t="s">
        <v>867</v>
      </c>
      <c r="D832" s="481">
        <v>6</v>
      </c>
      <c r="E832" s="272"/>
      <c r="F832" s="273">
        <f t="shared" si="9"/>
        <v>0</v>
      </c>
    </row>
    <row r="833" spans="1:6" ht="13.8" x14ac:dyDescent="0.3">
      <c r="A833" s="590" t="s">
        <v>1459</v>
      </c>
      <c r="B833" s="592" t="s">
        <v>1460</v>
      </c>
      <c r="C833" s="595" t="s">
        <v>867</v>
      </c>
      <c r="D833" s="481">
        <v>2</v>
      </c>
      <c r="E833" s="272"/>
      <c r="F833" s="273">
        <f t="shared" si="9"/>
        <v>0</v>
      </c>
    </row>
    <row r="834" spans="1:6" ht="13.8" x14ac:dyDescent="0.3">
      <c r="A834" s="590" t="s">
        <v>1461</v>
      </c>
      <c r="B834" s="592" t="s">
        <v>1462</v>
      </c>
      <c r="C834" s="595" t="s">
        <v>867</v>
      </c>
      <c r="D834" s="481">
        <v>2</v>
      </c>
      <c r="E834" s="272"/>
      <c r="F834" s="273">
        <f t="shared" si="9"/>
        <v>0</v>
      </c>
    </row>
    <row r="835" spans="1:6" ht="13.8" x14ac:dyDescent="0.3">
      <c r="A835" s="590" t="s">
        <v>1463</v>
      </c>
      <c r="B835" s="592" t="s">
        <v>1464</v>
      </c>
      <c r="C835" s="595" t="s">
        <v>867</v>
      </c>
      <c r="D835" s="481">
        <v>2</v>
      </c>
      <c r="E835" s="272"/>
      <c r="F835" s="273">
        <f t="shared" si="9"/>
        <v>0</v>
      </c>
    </row>
    <row r="836" spans="1:6" ht="13.8" x14ac:dyDescent="0.3">
      <c r="A836" s="590" t="s">
        <v>1465</v>
      </c>
      <c r="B836" s="592" t="s">
        <v>1466</v>
      </c>
      <c r="C836" s="595" t="s">
        <v>867</v>
      </c>
      <c r="D836" s="481">
        <v>4</v>
      </c>
      <c r="E836" s="272"/>
      <c r="F836" s="273">
        <f t="shared" si="9"/>
        <v>0</v>
      </c>
    </row>
    <row r="837" spans="1:6" ht="13.8" x14ac:dyDescent="0.3">
      <c r="A837" s="590" t="s">
        <v>1467</v>
      </c>
      <c r="B837" s="592" t="s">
        <v>1468</v>
      </c>
      <c r="C837" s="595" t="s">
        <v>867</v>
      </c>
      <c r="D837" s="481">
        <v>2</v>
      </c>
      <c r="E837" s="272"/>
      <c r="F837" s="273">
        <f t="shared" si="9"/>
        <v>0</v>
      </c>
    </row>
    <row r="838" spans="1:6" ht="13.8" x14ac:dyDescent="0.3">
      <c r="A838" s="590" t="s">
        <v>1469</v>
      </c>
      <c r="B838" s="592" t="s">
        <v>1470</v>
      </c>
      <c r="C838" s="595" t="s">
        <v>867</v>
      </c>
      <c r="D838" s="481">
        <v>2</v>
      </c>
      <c r="E838" s="272"/>
      <c r="F838" s="273">
        <f t="shared" si="9"/>
        <v>0</v>
      </c>
    </row>
    <row r="839" spans="1:6" ht="13.8" x14ac:dyDescent="0.3">
      <c r="A839" s="590" t="s">
        <v>1471</v>
      </c>
      <c r="B839" s="592" t="s">
        <v>1472</v>
      </c>
      <c r="C839" s="595" t="s">
        <v>867</v>
      </c>
      <c r="D839" s="481">
        <v>2</v>
      </c>
      <c r="E839" s="272"/>
      <c r="F839" s="273">
        <f t="shared" si="9"/>
        <v>0</v>
      </c>
    </row>
    <row r="840" spans="1:6" ht="13.8" x14ac:dyDescent="0.3">
      <c r="A840" s="590" t="s">
        <v>1473</v>
      </c>
      <c r="B840" s="592" t="s">
        <v>1474</v>
      </c>
      <c r="C840" s="595" t="s">
        <v>867</v>
      </c>
      <c r="D840" s="481">
        <v>4</v>
      </c>
      <c r="E840" s="272"/>
      <c r="F840" s="273">
        <f t="shared" si="9"/>
        <v>0</v>
      </c>
    </row>
    <row r="841" spans="1:6" ht="13.8" x14ac:dyDescent="0.3">
      <c r="A841" s="584"/>
      <c r="B841" s="589"/>
      <c r="C841" s="595"/>
      <c r="D841" s="481"/>
      <c r="E841" s="589"/>
      <c r="F841" s="589"/>
    </row>
    <row r="842" spans="1:6" ht="13.8" x14ac:dyDescent="0.3">
      <c r="A842" s="596"/>
      <c r="B842" s="597" t="s">
        <v>1475</v>
      </c>
      <c r="C842" s="598"/>
      <c r="D842" s="599"/>
      <c r="E842" s="600"/>
      <c r="F842" s="600"/>
    </row>
    <row r="843" spans="1:6" ht="27.6" x14ac:dyDescent="0.25">
      <c r="A843" s="473"/>
      <c r="B843" s="514" t="s">
        <v>1476</v>
      </c>
      <c r="C843" s="600"/>
      <c r="D843" s="600"/>
      <c r="E843" s="600"/>
      <c r="F843" s="600"/>
    </row>
    <row r="844" spans="1:6" ht="27.6" x14ac:dyDescent="0.3">
      <c r="A844" s="584">
        <v>32</v>
      </c>
      <c r="B844" s="418" t="s">
        <v>1477</v>
      </c>
      <c r="C844" s="480" t="s">
        <v>867</v>
      </c>
      <c r="D844" s="481">
        <v>8</v>
      </c>
      <c r="E844" s="272"/>
      <c r="F844" s="273">
        <f>D844*E844</f>
        <v>0</v>
      </c>
    </row>
    <row r="845" spans="1:6" ht="13.8" x14ac:dyDescent="0.25">
      <c r="A845" s="584"/>
      <c r="B845" s="418"/>
      <c r="C845" s="589"/>
      <c r="D845" s="589"/>
      <c r="E845" s="589"/>
      <c r="F845" s="589"/>
    </row>
    <row r="846" spans="1:6" ht="27.6" x14ac:dyDescent="0.3">
      <c r="A846" s="584">
        <v>33</v>
      </c>
      <c r="B846" s="418" t="s">
        <v>1478</v>
      </c>
      <c r="C846" s="480" t="s">
        <v>867</v>
      </c>
      <c r="D846" s="481">
        <v>12</v>
      </c>
      <c r="E846" s="272"/>
      <c r="F846" s="273">
        <f>D846*E846</f>
        <v>0</v>
      </c>
    </row>
    <row r="847" spans="1:6" ht="13.8" x14ac:dyDescent="0.3">
      <c r="A847" s="584"/>
      <c r="B847" s="418"/>
      <c r="C847" s="595"/>
      <c r="D847" s="481"/>
      <c r="E847" s="589"/>
      <c r="F847" s="589"/>
    </row>
    <row r="848" spans="1:6" ht="27.6" x14ac:dyDescent="0.3">
      <c r="A848" s="584">
        <v>34</v>
      </c>
      <c r="B848" s="418" t="s">
        <v>1479</v>
      </c>
      <c r="C848" s="480" t="s">
        <v>867</v>
      </c>
      <c r="D848" s="481">
        <v>2</v>
      </c>
      <c r="E848" s="272"/>
      <c r="F848" s="273">
        <f>D848*E848</f>
        <v>0</v>
      </c>
    </row>
    <row r="849" spans="1:6" ht="13.8" x14ac:dyDescent="0.3">
      <c r="A849" s="584"/>
      <c r="B849" s="418"/>
      <c r="C849" s="595"/>
      <c r="D849" s="481"/>
      <c r="E849" s="589"/>
      <c r="F849" s="589"/>
    </row>
    <row r="850" spans="1:6" ht="27.6" x14ac:dyDescent="0.3">
      <c r="A850" s="584">
        <v>35</v>
      </c>
      <c r="B850" s="418" t="s">
        <v>1480</v>
      </c>
      <c r="C850" s="480" t="s">
        <v>867</v>
      </c>
      <c r="D850" s="481">
        <v>4</v>
      </c>
      <c r="E850" s="272"/>
      <c r="F850" s="273">
        <f>D850*E850</f>
        <v>0</v>
      </c>
    </row>
    <row r="851" spans="1:6" ht="13.8" x14ac:dyDescent="0.3">
      <c r="A851" s="584"/>
      <c r="B851" s="418"/>
      <c r="C851" s="595"/>
      <c r="D851" s="481"/>
      <c r="E851" s="589"/>
      <c r="F851" s="589"/>
    </row>
    <row r="852" spans="1:6" ht="27.6" x14ac:dyDescent="0.3">
      <c r="A852" s="584">
        <v>36</v>
      </c>
      <c r="B852" s="418" t="s">
        <v>1481</v>
      </c>
      <c r="C852" s="480" t="s">
        <v>867</v>
      </c>
      <c r="D852" s="481">
        <v>4</v>
      </c>
      <c r="E852" s="272"/>
      <c r="F852" s="273">
        <f>D852*E852</f>
        <v>0</v>
      </c>
    </row>
    <row r="853" spans="1:6" ht="13.8" x14ac:dyDescent="0.25">
      <c r="A853" s="584"/>
      <c r="B853" s="418"/>
      <c r="C853" s="589"/>
      <c r="D853" s="589"/>
      <c r="E853" s="589"/>
      <c r="F853" s="589"/>
    </row>
    <row r="854" spans="1:6" ht="13.8" x14ac:dyDescent="0.3">
      <c r="A854" s="584"/>
      <c r="B854" s="418"/>
      <c r="C854" s="480"/>
      <c r="D854" s="481"/>
      <c r="E854" s="589"/>
      <c r="F854" s="589"/>
    </row>
    <row r="855" spans="1:6" ht="13.8" x14ac:dyDescent="0.3">
      <c r="A855" s="584"/>
      <c r="B855" s="418"/>
      <c r="C855" s="480"/>
      <c r="D855" s="481"/>
      <c r="E855" s="589"/>
      <c r="F855" s="589"/>
    </row>
    <row r="856" spans="1:6" ht="13.8" x14ac:dyDescent="0.25">
      <c r="A856" s="266"/>
      <c r="B856" s="317" t="s">
        <v>404</v>
      </c>
      <c r="C856" s="266"/>
      <c r="D856" s="266"/>
      <c r="E856" s="320"/>
      <c r="F856" s="320"/>
    </row>
    <row r="857" spans="1:6" ht="41.4" x14ac:dyDescent="0.25">
      <c r="A857" s="265"/>
      <c r="B857" s="317" t="s">
        <v>1482</v>
      </c>
      <c r="C857" s="265"/>
      <c r="D857" s="266"/>
      <c r="E857" s="281"/>
      <c r="F857" s="267"/>
    </row>
    <row r="858" spans="1:6" ht="13.8" x14ac:dyDescent="0.3">
      <c r="A858" s="584"/>
      <c r="B858" s="594"/>
      <c r="C858" s="595"/>
      <c r="D858" s="481"/>
      <c r="E858" s="589"/>
      <c r="F858" s="589"/>
    </row>
    <row r="859" spans="1:6" ht="27.6" x14ac:dyDescent="0.3">
      <c r="A859" s="567"/>
      <c r="B859" s="568" t="s">
        <v>1400</v>
      </c>
      <c r="C859" s="577" t="s">
        <v>1053</v>
      </c>
      <c r="D859" s="576">
        <v>1</v>
      </c>
      <c r="E859" s="272"/>
      <c r="F859" s="273">
        <f>D859*E859</f>
        <v>0</v>
      </c>
    </row>
    <row r="860" spans="1:6" ht="13.8" x14ac:dyDescent="0.3">
      <c r="A860" s="567"/>
      <c r="B860" s="568"/>
      <c r="C860" s="577"/>
      <c r="D860" s="576"/>
      <c r="E860" s="571"/>
      <c r="F860" s="578"/>
    </row>
    <row r="861" spans="1:6" ht="13.8" x14ac:dyDescent="0.25">
      <c r="A861" s="266"/>
      <c r="B861" s="573" t="s">
        <v>404</v>
      </c>
      <c r="C861" s="266"/>
      <c r="D861" s="266"/>
      <c r="E861" s="320"/>
      <c r="F861" s="320"/>
    </row>
    <row r="862" spans="1:6" ht="46.2" customHeight="1" x14ac:dyDescent="0.25">
      <c r="A862" s="265"/>
      <c r="B862" s="573" t="s">
        <v>1401</v>
      </c>
      <c r="C862" s="265"/>
      <c r="D862" s="266"/>
      <c r="E862" s="281"/>
      <c r="F862" s="267"/>
    </row>
    <row r="863" spans="1:6" ht="13.8" x14ac:dyDescent="0.25">
      <c r="A863" s="265"/>
      <c r="B863" s="573"/>
      <c r="C863" s="265"/>
      <c r="D863" s="266"/>
      <c r="E863" s="281"/>
      <c r="F863" s="267"/>
    </row>
    <row r="864" spans="1:6" ht="13.8" x14ac:dyDescent="0.25">
      <c r="A864" s="336"/>
      <c r="B864" s="268"/>
      <c r="C864" s="336"/>
      <c r="D864" s="336"/>
      <c r="E864" s="470"/>
      <c r="F864" s="470"/>
    </row>
    <row r="865" spans="1:6" ht="13.8" x14ac:dyDescent="0.3">
      <c r="A865" s="266" t="s">
        <v>1483</v>
      </c>
      <c r="B865" s="283"/>
      <c r="C865" s="266"/>
      <c r="D865" s="266"/>
      <c r="E865" s="281"/>
      <c r="F865" s="555"/>
    </row>
    <row r="866" spans="1:6" ht="85.8" customHeight="1" x14ac:dyDescent="0.3">
      <c r="A866" s="266"/>
      <c r="B866" s="283" t="s">
        <v>1484</v>
      </c>
      <c r="C866" s="266"/>
      <c r="D866" s="266"/>
      <c r="E866" s="281"/>
      <c r="F866" s="555"/>
    </row>
    <row r="867" spans="1:6" ht="27.6" x14ac:dyDescent="0.3">
      <c r="A867" s="266"/>
      <c r="B867" s="283" t="s">
        <v>1485</v>
      </c>
      <c r="C867" s="266"/>
      <c r="D867" s="266"/>
      <c r="E867" s="281"/>
      <c r="F867" s="555"/>
    </row>
    <row r="868" spans="1:6" ht="13.8" x14ac:dyDescent="0.3">
      <c r="A868" s="322"/>
      <c r="B868" s="418"/>
      <c r="C868" s="322"/>
      <c r="D868" s="322"/>
      <c r="E868" s="601"/>
      <c r="F868" s="555"/>
    </row>
    <row r="869" spans="1:6" ht="13.8" x14ac:dyDescent="0.3">
      <c r="A869" s="322"/>
      <c r="B869" s="418" t="s">
        <v>1486</v>
      </c>
      <c r="C869" s="322" t="s">
        <v>867</v>
      </c>
      <c r="D869" s="322">
        <v>8</v>
      </c>
      <c r="E869" s="272"/>
      <c r="F869" s="273">
        <f t="shared" ref="F869:F872" si="10">D869*E869</f>
        <v>0</v>
      </c>
    </row>
    <row r="870" spans="1:6" ht="13.8" x14ac:dyDescent="0.3">
      <c r="A870" s="322"/>
      <c r="B870" s="418" t="s">
        <v>1487</v>
      </c>
      <c r="C870" s="322" t="s">
        <v>867</v>
      </c>
      <c r="D870" s="322">
        <v>12</v>
      </c>
      <c r="E870" s="272"/>
      <c r="F870" s="273">
        <f t="shared" si="10"/>
        <v>0</v>
      </c>
    </row>
    <row r="871" spans="1:6" ht="13.8" x14ac:dyDescent="0.3">
      <c r="A871" s="322"/>
      <c r="B871" s="418" t="s">
        <v>1488</v>
      </c>
      <c r="C871" s="322" t="s">
        <v>867</v>
      </c>
      <c r="D871" s="322">
        <v>2</v>
      </c>
      <c r="E871" s="272"/>
      <c r="F871" s="273">
        <f t="shared" si="10"/>
        <v>0</v>
      </c>
    </row>
    <row r="872" spans="1:6" ht="13.8" x14ac:dyDescent="0.3">
      <c r="A872" s="322"/>
      <c r="B872" s="418" t="s">
        <v>1489</v>
      </c>
      <c r="C872" s="322" t="s">
        <v>867</v>
      </c>
      <c r="D872" s="322">
        <v>8</v>
      </c>
      <c r="E872" s="272"/>
      <c r="F872" s="273">
        <f t="shared" si="10"/>
        <v>0</v>
      </c>
    </row>
    <row r="873" spans="1:6" ht="13.8" x14ac:dyDescent="0.25">
      <c r="A873" s="469"/>
      <c r="B873" s="574"/>
      <c r="C873" s="469"/>
      <c r="D873" s="469"/>
      <c r="E873" s="601"/>
      <c r="F873" s="470"/>
    </row>
    <row r="874" spans="1:6" ht="13.8" x14ac:dyDescent="0.25">
      <c r="A874" s="469" t="s">
        <v>1490</v>
      </c>
      <c r="B874" s="268"/>
      <c r="C874" s="469"/>
      <c r="D874" s="469"/>
      <c r="E874" s="470"/>
      <c r="F874" s="470"/>
    </row>
    <row r="875" spans="1:6" ht="55.2" x14ac:dyDescent="0.25">
      <c r="A875" s="322"/>
      <c r="B875" s="418" t="s">
        <v>1491</v>
      </c>
      <c r="C875" s="322"/>
      <c r="D875" s="322"/>
      <c r="E875" s="601"/>
      <c r="F875" s="601"/>
    </row>
    <row r="876" spans="1:6" ht="13.8" x14ac:dyDescent="0.25">
      <c r="A876" s="322"/>
      <c r="B876" s="418" t="s">
        <v>1492</v>
      </c>
      <c r="C876" s="322"/>
      <c r="D876" s="322"/>
      <c r="E876" s="601"/>
      <c r="F876" s="601"/>
    </row>
    <row r="877" spans="1:6" ht="13.8" x14ac:dyDescent="0.3">
      <c r="A877" s="322"/>
      <c r="B877" s="418" t="s">
        <v>1493</v>
      </c>
      <c r="C877" s="322" t="s">
        <v>867</v>
      </c>
      <c r="D877" s="322">
        <v>2</v>
      </c>
      <c r="E877" s="272"/>
      <c r="F877" s="273">
        <f>D877*E877</f>
        <v>0</v>
      </c>
    </row>
    <row r="878" spans="1:6" ht="13.8" x14ac:dyDescent="0.25">
      <c r="A878" s="322"/>
      <c r="B878" s="418"/>
      <c r="C878" s="322"/>
      <c r="D878" s="322"/>
      <c r="E878" s="601"/>
      <c r="F878" s="601"/>
    </row>
    <row r="879" spans="1:6" ht="13.8" x14ac:dyDescent="0.25">
      <c r="A879" s="469" t="s">
        <v>1494</v>
      </c>
      <c r="B879" s="274"/>
      <c r="C879" s="336"/>
      <c r="D879" s="336"/>
      <c r="E879" s="470"/>
      <c r="F879" s="470"/>
    </row>
    <row r="880" spans="1:6" ht="69" x14ac:dyDescent="0.25">
      <c r="A880" s="336"/>
      <c r="B880" s="274" t="s">
        <v>1495</v>
      </c>
      <c r="C880" s="336"/>
      <c r="D880" s="336"/>
      <c r="E880" s="470"/>
      <c r="F880" s="336"/>
    </row>
    <row r="881" spans="1:6" ht="55.2" x14ac:dyDescent="0.25">
      <c r="A881" s="336"/>
      <c r="B881" s="274" t="s">
        <v>1496</v>
      </c>
      <c r="C881" s="336"/>
      <c r="D881" s="336"/>
      <c r="E881" s="470"/>
      <c r="F881" s="336"/>
    </row>
    <row r="882" spans="1:6" ht="55.2" x14ac:dyDescent="0.25">
      <c r="A882" s="336"/>
      <c r="B882" s="274" t="s">
        <v>1497</v>
      </c>
      <c r="C882" s="336"/>
      <c r="D882" s="336"/>
      <c r="E882" s="470"/>
      <c r="F882" s="336"/>
    </row>
    <row r="883" spans="1:6" ht="13.8" x14ac:dyDescent="0.25">
      <c r="A883" s="336"/>
      <c r="B883" s="274"/>
      <c r="C883" s="336"/>
      <c r="D883" s="336"/>
      <c r="E883" s="470"/>
      <c r="F883" s="336"/>
    </row>
    <row r="884" spans="1:6" ht="13.8" x14ac:dyDescent="0.3">
      <c r="A884" s="602"/>
      <c r="B884" s="418" t="s">
        <v>1487</v>
      </c>
      <c r="C884" s="602" t="s">
        <v>1053</v>
      </c>
      <c r="D884" s="602">
        <v>4</v>
      </c>
      <c r="E884" s="272"/>
      <c r="F884" s="273">
        <f t="shared" ref="F884:F886" si="11">D884*E884</f>
        <v>0</v>
      </c>
    </row>
    <row r="885" spans="1:6" ht="13.8" x14ac:dyDescent="0.3">
      <c r="A885" s="602"/>
      <c r="B885" s="418" t="s">
        <v>1498</v>
      </c>
      <c r="C885" s="602" t="s">
        <v>1053</v>
      </c>
      <c r="D885" s="602">
        <v>2</v>
      </c>
      <c r="E885" s="272"/>
      <c r="F885" s="273">
        <f t="shared" si="11"/>
        <v>0</v>
      </c>
    </row>
    <row r="886" spans="1:6" ht="13.8" x14ac:dyDescent="0.3">
      <c r="A886" s="602"/>
      <c r="B886" s="418" t="s">
        <v>1499</v>
      </c>
      <c r="C886" s="602" t="s">
        <v>1053</v>
      </c>
      <c r="D886" s="602">
        <v>4</v>
      </c>
      <c r="E886" s="272"/>
      <c r="F886" s="273">
        <f t="shared" si="11"/>
        <v>0</v>
      </c>
    </row>
    <row r="887" spans="1:6" ht="13.8" x14ac:dyDescent="0.25">
      <c r="A887" s="602"/>
      <c r="B887" s="418"/>
      <c r="C887" s="602"/>
      <c r="D887" s="602"/>
      <c r="E887" s="601"/>
      <c r="F887" s="602"/>
    </row>
    <row r="888" spans="1:6" ht="13.8" x14ac:dyDescent="0.25">
      <c r="A888" s="602" t="s">
        <v>1500</v>
      </c>
      <c r="B888" s="418"/>
      <c r="C888" s="602"/>
      <c r="D888" s="602"/>
      <c r="E888" s="601"/>
      <c r="F888" s="602"/>
    </row>
    <row r="889" spans="1:6" ht="73.2" customHeight="1" x14ac:dyDescent="0.25">
      <c r="A889" s="602"/>
      <c r="B889" s="418" t="s">
        <v>1501</v>
      </c>
      <c r="C889" s="602"/>
      <c r="D889" s="602"/>
      <c r="E889" s="601"/>
      <c r="F889" s="602"/>
    </row>
    <row r="890" spans="1:6" ht="13.8" x14ac:dyDescent="0.3">
      <c r="A890" s="322"/>
      <c r="B890" s="418"/>
      <c r="C890" s="322" t="s">
        <v>867</v>
      </c>
      <c r="D890" s="322">
        <v>2</v>
      </c>
      <c r="E890" s="272"/>
      <c r="F890" s="273">
        <f>D890*E890</f>
        <v>0</v>
      </c>
    </row>
    <row r="891" spans="1:6" ht="13.8" x14ac:dyDescent="0.25">
      <c r="A891" s="322"/>
      <c r="B891" s="418"/>
      <c r="C891" s="602"/>
      <c r="D891" s="602"/>
      <c r="E891" s="601"/>
      <c r="F891" s="601"/>
    </row>
    <row r="892" spans="1:6" ht="15.6" x14ac:dyDescent="0.25">
      <c r="A892" s="603" t="s">
        <v>28</v>
      </c>
      <c r="B892" s="604" t="s">
        <v>1374</v>
      </c>
      <c r="C892" s="605"/>
      <c r="D892" s="606"/>
      <c r="E892" s="607"/>
      <c r="F892" s="608"/>
    </row>
    <row r="893" spans="1:6" ht="15.6" x14ac:dyDescent="0.25">
      <c r="A893" s="609"/>
      <c r="B893" s="498"/>
      <c r="C893" s="499"/>
      <c r="D893" s="364"/>
      <c r="E893" s="610"/>
      <c r="F893" s="500"/>
    </row>
    <row r="894" spans="1:6" ht="18" x14ac:dyDescent="0.25">
      <c r="A894" s="609"/>
      <c r="B894" s="501" t="s">
        <v>1132</v>
      </c>
      <c r="C894" s="499"/>
      <c r="D894" s="364"/>
      <c r="E894" s="792">
        <f>SUM(F758:F890)</f>
        <v>0</v>
      </c>
      <c r="F894" s="793"/>
    </row>
    <row r="895" spans="1:6" ht="18" x14ac:dyDescent="0.25">
      <c r="A895" s="611"/>
      <c r="B895" s="502"/>
      <c r="C895" s="503"/>
      <c r="D895" s="462"/>
      <c r="E895" s="612"/>
      <c r="F895" s="504"/>
    </row>
    <row r="896" spans="1:6" ht="13.8" x14ac:dyDescent="0.25">
      <c r="A896" s="322"/>
      <c r="B896" s="418"/>
      <c r="C896" s="602"/>
      <c r="D896" s="602"/>
      <c r="E896" s="601"/>
      <c r="F896" s="601"/>
    </row>
    <row r="897" spans="1:6" ht="13.8" x14ac:dyDescent="0.3">
      <c r="A897" s="220"/>
      <c r="B897" s="248"/>
      <c r="C897" s="221"/>
      <c r="D897" s="221"/>
      <c r="E897" s="613"/>
      <c r="F897" s="613"/>
    </row>
    <row r="898" spans="1:6" ht="15.6" x14ac:dyDescent="0.3">
      <c r="A898" s="614" t="s">
        <v>29</v>
      </c>
      <c r="B898" s="615" t="s">
        <v>1502</v>
      </c>
      <c r="C898" s="616"/>
      <c r="D898" s="616"/>
      <c r="E898" s="617"/>
      <c r="F898" s="618"/>
    </row>
    <row r="899" spans="1:6" ht="13.8" x14ac:dyDescent="0.3">
      <c r="A899" s="323"/>
      <c r="B899" s="324"/>
      <c r="C899" s="345"/>
      <c r="D899" s="345"/>
      <c r="E899" s="619"/>
      <c r="F899" s="619"/>
    </row>
    <row r="900" spans="1:6" ht="13.8" x14ac:dyDescent="0.3">
      <c r="A900" s="339" t="s">
        <v>1503</v>
      </c>
      <c r="B900" s="283"/>
      <c r="C900" s="620"/>
      <c r="D900" s="186"/>
      <c r="E900" s="331"/>
      <c r="F900" s="341"/>
    </row>
    <row r="901" spans="1:6" ht="82.8" x14ac:dyDescent="0.3">
      <c r="A901" s="339"/>
      <c r="B901" s="283" t="s">
        <v>1504</v>
      </c>
      <c r="C901" s="620"/>
      <c r="D901" s="186"/>
      <c r="E901" s="331"/>
      <c r="F901" s="341"/>
    </row>
    <row r="902" spans="1:6" ht="13.8" x14ac:dyDescent="0.3">
      <c r="A902" s="339"/>
      <c r="B902" s="283"/>
      <c r="C902" s="330" t="s">
        <v>1053</v>
      </c>
      <c r="D902" s="186">
        <v>1</v>
      </c>
      <c r="E902" s="272"/>
      <c r="F902" s="273">
        <f>D902*E902</f>
        <v>0</v>
      </c>
    </row>
    <row r="903" spans="1:6" ht="45.6" customHeight="1" x14ac:dyDescent="0.3">
      <c r="A903" s="339"/>
      <c r="B903" s="283" t="s">
        <v>1505</v>
      </c>
      <c r="C903" s="620"/>
      <c r="D903" s="186"/>
      <c r="E903" s="331"/>
      <c r="F903" s="341"/>
    </row>
    <row r="904" spans="1:6" ht="13.8" x14ac:dyDescent="0.3">
      <c r="A904" s="339"/>
      <c r="B904" s="283" t="s">
        <v>416</v>
      </c>
      <c r="C904" s="620"/>
      <c r="D904" s="186"/>
      <c r="E904" s="331"/>
      <c r="F904" s="341"/>
    </row>
    <row r="905" spans="1:6" ht="13.8" x14ac:dyDescent="0.3">
      <c r="A905" s="621" t="s">
        <v>1506</v>
      </c>
      <c r="B905" s="333"/>
      <c r="C905" s="622"/>
      <c r="D905" s="622"/>
      <c r="E905" s="623"/>
      <c r="F905" s="623"/>
    </row>
    <row r="906" spans="1:6" ht="27.6" x14ac:dyDescent="0.3">
      <c r="A906" s="621"/>
      <c r="B906" s="333" t="s">
        <v>1507</v>
      </c>
      <c r="C906" s="221"/>
      <c r="D906" s="221"/>
      <c r="E906" s="337"/>
      <c r="F906" s="624"/>
    </row>
    <row r="907" spans="1:6" ht="13.8" x14ac:dyDescent="0.3">
      <c r="A907" s="621"/>
      <c r="B907" s="333"/>
      <c r="C907" s="186" t="s">
        <v>1053</v>
      </c>
      <c r="D907" s="622">
        <v>1</v>
      </c>
      <c r="E907" s="272"/>
      <c r="F907" s="273">
        <f>D907*E907</f>
        <v>0</v>
      </c>
    </row>
    <row r="908" spans="1:6" ht="13.8" x14ac:dyDescent="0.3">
      <c r="A908" s="621"/>
      <c r="B908" s="333"/>
      <c r="C908" s="186"/>
      <c r="D908" s="622"/>
      <c r="E908" s="623"/>
      <c r="F908" s="623"/>
    </row>
    <row r="909" spans="1:6" ht="13.8" x14ac:dyDescent="0.3">
      <c r="A909" s="339" t="s">
        <v>1508</v>
      </c>
      <c r="B909" s="283"/>
      <c r="C909" s="330"/>
      <c r="D909" s="186"/>
      <c r="E909" s="331"/>
      <c r="F909" s="331"/>
    </row>
    <row r="910" spans="1:6" ht="27.6" x14ac:dyDescent="0.3">
      <c r="A910" s="339"/>
      <c r="B910" s="283" t="s">
        <v>1121</v>
      </c>
      <c r="C910" s="330"/>
      <c r="D910" s="186"/>
      <c r="E910" s="331"/>
      <c r="F910" s="331"/>
    </row>
    <row r="911" spans="1:6" ht="13.8" x14ac:dyDescent="0.3">
      <c r="A911" s="339"/>
      <c r="B911" s="340"/>
      <c r="C911" s="330" t="s">
        <v>1053</v>
      </c>
      <c r="D911" s="186">
        <v>1</v>
      </c>
      <c r="E911" s="272"/>
      <c r="F911" s="273">
        <f>D911*E911</f>
        <v>0</v>
      </c>
    </row>
    <row r="912" spans="1:6" ht="13.8" x14ac:dyDescent="0.3">
      <c r="A912" s="339"/>
      <c r="B912" s="340"/>
      <c r="C912" s="330"/>
      <c r="D912" s="186"/>
      <c r="E912" s="331"/>
      <c r="F912" s="624"/>
    </row>
    <row r="913" spans="1:6" ht="13.8" x14ac:dyDescent="0.3">
      <c r="A913" s="339" t="s">
        <v>1509</v>
      </c>
      <c r="B913" s="283"/>
      <c r="C913" s="330"/>
      <c r="D913" s="625"/>
      <c r="E913" s="341"/>
      <c r="F913" s="341"/>
    </row>
    <row r="914" spans="1:6" ht="27.6" x14ac:dyDescent="0.3">
      <c r="A914" s="339"/>
      <c r="B914" s="283" t="s">
        <v>1123</v>
      </c>
      <c r="C914" s="330"/>
      <c r="D914" s="625"/>
      <c r="E914" s="341"/>
      <c r="F914" s="341"/>
    </row>
    <row r="915" spans="1:6" ht="13.8" x14ac:dyDescent="0.3">
      <c r="A915" s="339"/>
      <c r="B915" s="283"/>
      <c r="C915" s="330" t="s">
        <v>1053</v>
      </c>
      <c r="D915" s="186">
        <v>1</v>
      </c>
      <c r="E915" s="272"/>
      <c r="F915" s="273">
        <f>D915*E915</f>
        <v>0</v>
      </c>
    </row>
    <row r="916" spans="1:6" ht="13.8" x14ac:dyDescent="0.3">
      <c r="A916" s="339"/>
      <c r="B916" s="283"/>
      <c r="C916" s="330"/>
      <c r="D916" s="186"/>
      <c r="E916" s="331"/>
      <c r="F916" s="624"/>
    </row>
    <row r="917" spans="1:6" ht="13.8" x14ac:dyDescent="0.25">
      <c r="A917" s="265" t="s">
        <v>1510</v>
      </c>
      <c r="B917" s="248"/>
      <c r="C917" s="266"/>
      <c r="D917" s="266"/>
      <c r="E917" s="281"/>
      <c r="F917" s="281"/>
    </row>
    <row r="918" spans="1:6" ht="71.400000000000006" customHeight="1" x14ac:dyDescent="0.3">
      <c r="A918" s="265"/>
      <c r="B918" s="248" t="s">
        <v>1125</v>
      </c>
      <c r="C918" s="186"/>
      <c r="D918" s="250"/>
      <c r="E918" s="281"/>
      <c r="F918" s="281"/>
    </row>
    <row r="919" spans="1:6" ht="13.8" x14ac:dyDescent="0.3">
      <c r="A919" s="265"/>
      <c r="B919" s="248"/>
      <c r="C919" s="250" t="s">
        <v>1053</v>
      </c>
      <c r="D919" s="250">
        <v>1</v>
      </c>
      <c r="E919" s="272"/>
      <c r="F919" s="273">
        <f>D919*E919</f>
        <v>0</v>
      </c>
    </row>
    <row r="920" spans="1:6" ht="13.8" x14ac:dyDescent="0.3">
      <c r="A920" s="265"/>
      <c r="B920" s="248"/>
      <c r="C920" s="250"/>
      <c r="D920" s="250"/>
      <c r="E920" s="281"/>
      <c r="F920" s="624"/>
    </row>
    <row r="921" spans="1:6" ht="13.8" x14ac:dyDescent="0.3">
      <c r="A921" s="265" t="s">
        <v>1511</v>
      </c>
      <c r="B921" s="248"/>
      <c r="C921" s="249"/>
      <c r="D921" s="249"/>
      <c r="E921" s="320"/>
      <c r="F921" s="320"/>
    </row>
    <row r="922" spans="1:6" ht="69" x14ac:dyDescent="0.3">
      <c r="A922" s="265"/>
      <c r="B922" s="248" t="s">
        <v>1369</v>
      </c>
      <c r="C922" s="249"/>
      <c r="D922" s="249"/>
      <c r="E922" s="320"/>
      <c r="F922" s="320"/>
    </row>
    <row r="923" spans="1:6" ht="13.8" x14ac:dyDescent="0.3">
      <c r="A923" s="265"/>
      <c r="B923" s="248"/>
      <c r="C923" s="249" t="s">
        <v>1053</v>
      </c>
      <c r="D923" s="249">
        <v>1</v>
      </c>
      <c r="E923" s="272"/>
      <c r="F923" s="273">
        <f>D923*E923</f>
        <v>0</v>
      </c>
    </row>
    <row r="924" spans="1:6" ht="46.8" customHeight="1" x14ac:dyDescent="0.3">
      <c r="A924" s="265"/>
      <c r="B924" s="248" t="s">
        <v>1128</v>
      </c>
      <c r="C924" s="249"/>
      <c r="D924" s="249"/>
      <c r="E924" s="320"/>
      <c r="F924" s="320"/>
    </row>
    <row r="925" spans="1:6" ht="13.8" x14ac:dyDescent="0.3">
      <c r="A925" s="265"/>
      <c r="B925" s="248"/>
      <c r="C925" s="249"/>
      <c r="D925" s="249"/>
      <c r="E925" s="320"/>
      <c r="F925" s="320"/>
    </row>
    <row r="926" spans="1:6" ht="13.8" x14ac:dyDescent="0.3">
      <c r="A926" s="265" t="s">
        <v>1512</v>
      </c>
      <c r="B926" s="324"/>
      <c r="C926" s="345"/>
      <c r="D926" s="345"/>
      <c r="E926" s="327"/>
      <c r="F926" s="327"/>
    </row>
    <row r="927" spans="1:6" ht="41.4" x14ac:dyDescent="0.3">
      <c r="A927" s="323"/>
      <c r="B927" s="324" t="s">
        <v>1130</v>
      </c>
      <c r="C927" s="345"/>
      <c r="D927" s="345"/>
      <c r="E927" s="327"/>
      <c r="F927" s="327"/>
    </row>
    <row r="928" spans="1:6" ht="13.8" x14ac:dyDescent="0.3">
      <c r="A928" s="323"/>
      <c r="B928" s="324"/>
      <c r="C928" s="345"/>
      <c r="D928" s="345"/>
      <c r="E928" s="327"/>
      <c r="F928" s="327"/>
    </row>
    <row r="929" spans="1:6" ht="13.8" x14ac:dyDescent="0.3">
      <c r="A929" s="323"/>
      <c r="B929" s="324"/>
      <c r="C929" s="325" t="s">
        <v>1053</v>
      </c>
      <c r="D929" s="325">
        <v>1</v>
      </c>
      <c r="E929" s="272"/>
      <c r="F929" s="273">
        <f>D929*E929</f>
        <v>0</v>
      </c>
    </row>
    <row r="930" spans="1:6" ht="13.8" x14ac:dyDescent="0.3">
      <c r="A930" s="323"/>
      <c r="B930" s="324"/>
      <c r="C930" s="325"/>
      <c r="D930" s="325"/>
      <c r="E930" s="327"/>
      <c r="F930" s="327"/>
    </row>
    <row r="931" spans="1:6" ht="13.8" x14ac:dyDescent="0.3">
      <c r="A931" s="323"/>
      <c r="B931" s="324"/>
      <c r="C931" s="325"/>
      <c r="D931" s="325"/>
      <c r="E931" s="327"/>
      <c r="F931" s="327"/>
    </row>
    <row r="932" spans="1:6" ht="13.8" x14ac:dyDescent="0.3">
      <c r="A932" s="323"/>
      <c r="B932" s="324"/>
      <c r="C932" s="325"/>
      <c r="D932" s="325"/>
      <c r="E932" s="327"/>
      <c r="F932" s="327"/>
    </row>
    <row r="933" spans="1:6" ht="13.8" x14ac:dyDescent="0.3">
      <c r="A933" s="265" t="s">
        <v>1513</v>
      </c>
      <c r="B933" s="248"/>
      <c r="C933" s="265"/>
      <c r="D933" s="266"/>
      <c r="E933" s="320"/>
      <c r="F933" s="346"/>
    </row>
    <row r="934" spans="1:6" ht="69" x14ac:dyDescent="0.3">
      <c r="A934" s="332"/>
      <c r="B934" s="418" t="s">
        <v>1131</v>
      </c>
      <c r="C934" s="322"/>
      <c r="D934" s="322"/>
      <c r="E934" s="626"/>
      <c r="F934" s="346"/>
    </row>
    <row r="935" spans="1:6" ht="13.8" x14ac:dyDescent="0.3">
      <c r="A935" s="444"/>
      <c r="B935" s="444"/>
      <c r="C935" s="325" t="s">
        <v>1053</v>
      </c>
      <c r="D935" s="325">
        <v>1</v>
      </c>
      <c r="E935" s="272"/>
      <c r="F935" s="273">
        <f>D935*E935</f>
        <v>0</v>
      </c>
    </row>
    <row r="936" spans="1:6" ht="13.8" x14ac:dyDescent="0.3">
      <c r="A936" s="339"/>
      <c r="B936" s="627"/>
      <c r="C936" s="330"/>
      <c r="D936" s="625"/>
      <c r="E936" s="628"/>
      <c r="F936" s="628"/>
    </row>
    <row r="937" spans="1:6" ht="15.6" x14ac:dyDescent="0.25">
      <c r="A937" s="495" t="s">
        <v>29</v>
      </c>
      <c r="B937" s="523" t="s">
        <v>1502</v>
      </c>
      <c r="C937" s="295"/>
      <c r="D937" s="295"/>
      <c r="E937" s="629"/>
      <c r="F937" s="630"/>
    </row>
    <row r="938" spans="1:6" ht="15.6" x14ac:dyDescent="0.25">
      <c r="A938" s="526"/>
      <c r="B938" s="631" t="s">
        <v>15</v>
      </c>
      <c r="C938" s="301"/>
      <c r="D938" s="301"/>
      <c r="E938" s="632"/>
      <c r="F938" s="633"/>
    </row>
    <row r="939" spans="1:6" ht="18" x14ac:dyDescent="0.25">
      <c r="A939" s="526"/>
      <c r="B939" s="537"/>
      <c r="C939" s="301"/>
      <c r="D939" s="301"/>
      <c r="E939" s="788">
        <f>SUM(F901:F935)</f>
        <v>0</v>
      </c>
      <c r="F939" s="789"/>
    </row>
    <row r="940" spans="1:6" x14ac:dyDescent="0.25">
      <c r="A940" s="541"/>
      <c r="B940" s="3"/>
      <c r="C940" s="3"/>
      <c r="D940" s="3"/>
      <c r="E940" s="3"/>
      <c r="F940" s="542"/>
    </row>
    <row r="943" spans="1:6" ht="15.6" x14ac:dyDescent="0.3">
      <c r="A943" s="354" t="s">
        <v>622</v>
      </c>
      <c r="B943" s="254" t="s">
        <v>1514</v>
      </c>
      <c r="C943" s="255"/>
      <c r="D943" s="255"/>
      <c r="E943" s="257"/>
      <c r="F943" s="355"/>
    </row>
    <row r="944" spans="1:6" ht="13.8" x14ac:dyDescent="0.3">
      <c r="A944" s="247"/>
      <c r="B944" s="258"/>
      <c r="C944" s="250"/>
      <c r="D944" s="250"/>
      <c r="E944" s="315"/>
      <c r="F944" s="315"/>
    </row>
    <row r="945" spans="1:7" ht="27.6" customHeight="1" x14ac:dyDescent="0.25">
      <c r="A945" s="634"/>
      <c r="B945" s="782" t="s">
        <v>1136</v>
      </c>
      <c r="C945" s="782"/>
      <c r="D945" s="782"/>
      <c r="E945" s="782"/>
      <c r="F945" s="782"/>
    </row>
    <row r="946" spans="1:7" ht="13.8" x14ac:dyDescent="0.3">
      <c r="A946" s="635"/>
      <c r="B946" s="783" t="s">
        <v>1515</v>
      </c>
      <c r="C946" s="783"/>
      <c r="D946" s="783"/>
      <c r="E946" s="783"/>
      <c r="F946" s="635"/>
    </row>
    <row r="947" spans="1:7" ht="28.8" customHeight="1" x14ac:dyDescent="0.3">
      <c r="A947" s="635"/>
      <c r="B947" s="784" t="s">
        <v>1516</v>
      </c>
      <c r="C947" s="784"/>
      <c r="D947" s="784"/>
      <c r="E947" s="784"/>
      <c r="F947" s="784"/>
    </row>
    <row r="948" spans="1:7" ht="13.8" x14ac:dyDescent="0.3">
      <c r="A948" s="247"/>
      <c r="B948" s="258"/>
      <c r="C948" s="265"/>
      <c r="D948" s="266"/>
      <c r="E948" s="251"/>
      <c r="F948" s="252"/>
    </row>
    <row r="949" spans="1:7" ht="13.8" x14ac:dyDescent="0.3">
      <c r="A949" s="260" t="s">
        <v>30</v>
      </c>
      <c r="B949" s="261" t="s">
        <v>1517</v>
      </c>
      <c r="C949" s="488"/>
      <c r="D949" s="488"/>
      <c r="E949" s="263"/>
      <c r="F949" s="264"/>
    </row>
    <row r="950" spans="1:7" ht="15.6" x14ac:dyDescent="0.3">
      <c r="A950" s="489"/>
      <c r="B950" s="490"/>
      <c r="C950" s="301"/>
      <c r="D950" s="301"/>
      <c r="E950" s="302"/>
      <c r="F950" s="405"/>
    </row>
    <row r="951" spans="1:7" ht="13.8" x14ac:dyDescent="0.3">
      <c r="A951" s="301" t="s">
        <v>1518</v>
      </c>
      <c r="B951" s="636"/>
      <c r="C951" s="637"/>
      <c r="D951" s="637"/>
      <c r="E951" s="638"/>
      <c r="F951" s="639"/>
    </row>
    <row r="952" spans="1:7" ht="151.80000000000001" customHeight="1" x14ac:dyDescent="0.3">
      <c r="A952" s="640"/>
      <c r="B952" s="641" t="s">
        <v>1825</v>
      </c>
      <c r="C952" s="637"/>
      <c r="D952" s="637"/>
      <c r="E952" s="638"/>
      <c r="F952" s="639"/>
      <c r="G952" s="693"/>
    </row>
    <row r="953" spans="1:7" ht="13.8" x14ac:dyDescent="0.3">
      <c r="A953" s="640"/>
      <c r="B953" s="641"/>
      <c r="C953" s="637"/>
      <c r="D953" s="637"/>
      <c r="E953" s="638"/>
      <c r="F953" s="639"/>
    </row>
    <row r="954" spans="1:7" ht="97.2" customHeight="1" x14ac:dyDescent="0.3">
      <c r="A954" s="301">
        <v>1</v>
      </c>
      <c r="B954" s="711" t="s">
        <v>1826</v>
      </c>
      <c r="C954" s="637"/>
      <c r="D954" s="637"/>
      <c r="E954" s="638"/>
      <c r="F954" s="639"/>
      <c r="G954" s="693"/>
    </row>
    <row r="955" spans="1:7" ht="13.8" x14ac:dyDescent="0.3">
      <c r="A955" s="301"/>
      <c r="B955" s="641"/>
      <c r="C955" s="637"/>
      <c r="D955" s="637"/>
      <c r="E955" s="638"/>
      <c r="F955" s="639"/>
    </row>
    <row r="956" spans="1:7" ht="110.4" x14ac:dyDescent="0.3">
      <c r="A956" s="301">
        <v>2</v>
      </c>
      <c r="B956" s="641" t="s">
        <v>1827</v>
      </c>
      <c r="C956" s="637"/>
      <c r="D956" s="637"/>
      <c r="E956" s="638"/>
      <c r="F956" s="639"/>
      <c r="G956" s="693"/>
    </row>
    <row r="957" spans="1:7" ht="13.8" x14ac:dyDescent="0.3">
      <c r="A957" s="642"/>
      <c r="B957" s="643"/>
      <c r="C957" s="644" t="s">
        <v>1053</v>
      </c>
      <c r="D957" s="644">
        <v>1</v>
      </c>
      <c r="E957" s="272"/>
      <c r="F957" s="273">
        <f>D957*E957</f>
        <v>0</v>
      </c>
    </row>
    <row r="958" spans="1:7" ht="13.8" x14ac:dyDescent="0.3">
      <c r="A958" s="642"/>
      <c r="B958" s="643"/>
      <c r="C958" s="644"/>
      <c r="D958" s="644"/>
      <c r="E958" s="645"/>
      <c r="F958" s="646"/>
    </row>
    <row r="959" spans="1:7" ht="13.8" x14ac:dyDescent="0.3">
      <c r="A959" s="515">
        <v>3</v>
      </c>
      <c r="B959" s="647"/>
      <c r="C959" s="644"/>
      <c r="D959" s="644"/>
      <c r="E959" s="645"/>
      <c r="F959" s="646"/>
    </row>
    <row r="960" spans="1:7" ht="99" customHeight="1" x14ac:dyDescent="0.3">
      <c r="A960" s="220"/>
      <c r="B960" s="248" t="s">
        <v>1519</v>
      </c>
      <c r="C960" s="186"/>
      <c r="D960" s="186"/>
      <c r="E960" s="331"/>
      <c r="F960" s="331"/>
    </row>
    <row r="961" spans="1:6" ht="27.6" x14ac:dyDescent="0.3">
      <c r="A961" s="220"/>
      <c r="B961" s="647" t="s">
        <v>1520</v>
      </c>
      <c r="C961" s="186"/>
      <c r="D961" s="186"/>
      <c r="E961" s="331"/>
      <c r="F961" s="331"/>
    </row>
    <row r="962" spans="1:6" ht="13.8" x14ac:dyDescent="0.3">
      <c r="A962" s="220"/>
      <c r="B962" s="248"/>
      <c r="C962" s="186" t="s">
        <v>1053</v>
      </c>
      <c r="D962" s="186">
        <v>1</v>
      </c>
      <c r="E962" s="272"/>
      <c r="F962" s="273">
        <f>D962*E962</f>
        <v>0</v>
      </c>
    </row>
    <row r="963" spans="1:6" ht="13.8" x14ac:dyDescent="0.3">
      <c r="A963" s="515"/>
      <c r="B963" s="518"/>
      <c r="C963" s="644"/>
      <c r="D963" s="644"/>
      <c r="E963" s="645"/>
      <c r="F963" s="646"/>
    </row>
    <row r="964" spans="1:6" ht="13.8" x14ac:dyDescent="0.3">
      <c r="A964" s="642"/>
      <c r="B964" s="643"/>
      <c r="C964" s="644"/>
      <c r="D964" s="644"/>
      <c r="E964" s="645"/>
      <c r="F964" s="646"/>
    </row>
    <row r="965" spans="1:6" ht="13.8" x14ac:dyDescent="0.3">
      <c r="A965" s="642"/>
      <c r="B965" s="643"/>
      <c r="C965" s="644"/>
      <c r="D965" s="644"/>
      <c r="E965" s="645"/>
      <c r="F965" s="646"/>
    </row>
    <row r="966" spans="1:6" ht="13.8" x14ac:dyDescent="0.3">
      <c r="A966" s="343" t="s">
        <v>1521</v>
      </c>
      <c r="B966" s="274"/>
      <c r="C966" s="437"/>
      <c r="D966" s="343"/>
      <c r="E966" s="320"/>
      <c r="F966" s="648"/>
    </row>
    <row r="967" spans="1:6" ht="27.6" x14ac:dyDescent="0.3">
      <c r="A967" s="343"/>
      <c r="B967" s="268" t="s">
        <v>1522</v>
      </c>
      <c r="C967" s="437"/>
      <c r="D967" s="343"/>
      <c r="E967" s="320"/>
      <c r="F967" s="648"/>
    </row>
    <row r="968" spans="1:6" ht="13.8" x14ac:dyDescent="0.3">
      <c r="A968" s="343"/>
      <c r="B968" s="268"/>
      <c r="C968" s="649" t="s">
        <v>1053</v>
      </c>
      <c r="D968" s="343">
        <v>1</v>
      </c>
      <c r="E968" s="272"/>
      <c r="F968" s="273">
        <f>D968*E968</f>
        <v>0</v>
      </c>
    </row>
    <row r="969" spans="1:6" ht="13.8" x14ac:dyDescent="0.3">
      <c r="A969" s="343"/>
      <c r="B969" s="268"/>
      <c r="C969" s="649"/>
      <c r="D969" s="343"/>
      <c r="E969" s="320"/>
      <c r="F969" s="648"/>
    </row>
    <row r="970" spans="1:6" ht="13.8" x14ac:dyDescent="0.3">
      <c r="A970" s="270"/>
      <c r="B970" s="494"/>
      <c r="C970" s="336"/>
      <c r="D970" s="336"/>
      <c r="E970" s="315"/>
      <c r="F970" s="252"/>
    </row>
    <row r="971" spans="1:6" ht="15.6" x14ac:dyDescent="0.25">
      <c r="A971" s="495" t="s">
        <v>30</v>
      </c>
      <c r="B971" s="209" t="s">
        <v>1517</v>
      </c>
      <c r="C971" s="496"/>
      <c r="D971" s="459"/>
      <c r="E971" s="377"/>
      <c r="F971" s="497"/>
    </row>
    <row r="972" spans="1:6" ht="15.6" x14ac:dyDescent="0.25">
      <c r="A972" s="379"/>
      <c r="B972" s="498"/>
      <c r="C972" s="499"/>
      <c r="D972" s="364"/>
      <c r="E972" s="382"/>
      <c r="F972" s="500"/>
    </row>
    <row r="973" spans="1:6" ht="18" x14ac:dyDescent="0.25">
      <c r="A973" s="379"/>
      <c r="B973" s="501" t="s">
        <v>1132</v>
      </c>
      <c r="C973" s="499"/>
      <c r="D973" s="364"/>
      <c r="E973" s="785">
        <f>SUM(F954:F968)</f>
        <v>0</v>
      </c>
      <c r="F973" s="786"/>
    </row>
    <row r="974" spans="1:6" ht="18" x14ac:dyDescent="0.25">
      <c r="A974" s="384"/>
      <c r="B974" s="502"/>
      <c r="C974" s="503"/>
      <c r="D974" s="462"/>
      <c r="E974" s="387"/>
      <c r="F974" s="504"/>
    </row>
    <row r="975" spans="1:6" ht="18" x14ac:dyDescent="0.25">
      <c r="A975" s="427"/>
      <c r="B975" s="650"/>
      <c r="C975" s="499"/>
      <c r="D975" s="364"/>
      <c r="E975" s="382"/>
      <c r="F975" s="651"/>
    </row>
    <row r="976" spans="1:6" ht="13.8" x14ac:dyDescent="0.3">
      <c r="A976" s="652" t="s">
        <v>31</v>
      </c>
      <c r="B976" s="261" t="s">
        <v>1523</v>
      </c>
      <c r="C976" s="446"/>
      <c r="D976" s="446"/>
      <c r="E976" s="653"/>
      <c r="F976" s="654"/>
    </row>
    <row r="977" spans="1:6" ht="13.8" x14ac:dyDescent="0.3">
      <c r="A977" s="655"/>
      <c r="B977" s="656"/>
      <c r="C977" s="301"/>
      <c r="D977" s="301"/>
      <c r="E977" s="521"/>
      <c r="F977" s="521"/>
    </row>
    <row r="978" spans="1:6" ht="13.8" x14ac:dyDescent="0.3">
      <c r="A978" s="655" t="s">
        <v>1524</v>
      </c>
      <c r="B978" s="656"/>
      <c r="C978" s="301"/>
      <c r="D978" s="301"/>
      <c r="E978" s="521"/>
      <c r="F978" s="521"/>
    </row>
    <row r="979" spans="1:6" ht="84.6" customHeight="1" x14ac:dyDescent="0.3">
      <c r="A979" s="657"/>
      <c r="B979" s="658" t="s">
        <v>1525</v>
      </c>
      <c r="C979" s="659"/>
      <c r="D979" s="659"/>
      <c r="E979" s="660"/>
      <c r="F979" s="660"/>
    </row>
    <row r="980" spans="1:6" ht="13.8" x14ac:dyDescent="0.3">
      <c r="A980" s="657"/>
      <c r="B980" s="661"/>
      <c r="C980" s="659"/>
      <c r="D980" s="659"/>
      <c r="E980" s="660"/>
      <c r="F980" s="660"/>
    </row>
    <row r="981" spans="1:6" ht="13.8" x14ac:dyDescent="0.3">
      <c r="A981" s="662" t="s">
        <v>1526</v>
      </c>
      <c r="B981" s="663" t="s">
        <v>1527</v>
      </c>
      <c r="C981" s="664" t="s">
        <v>632</v>
      </c>
      <c r="D981" s="664">
        <v>20</v>
      </c>
      <c r="E981" s="272"/>
      <c r="F981" s="273">
        <f>D981*E981</f>
        <v>0</v>
      </c>
    </row>
    <row r="982" spans="1:6" ht="13.8" x14ac:dyDescent="0.3">
      <c r="A982" s="657"/>
      <c r="B982" s="661"/>
      <c r="C982" s="659"/>
      <c r="D982" s="659"/>
      <c r="E982" s="660"/>
      <c r="F982" s="660"/>
    </row>
    <row r="983" spans="1:6" ht="13.8" x14ac:dyDescent="0.3">
      <c r="A983" s="662" t="s">
        <v>1528</v>
      </c>
      <c r="B983" s="663" t="s">
        <v>1529</v>
      </c>
      <c r="C983" s="664" t="s">
        <v>632</v>
      </c>
      <c r="D983" s="664">
        <v>20</v>
      </c>
      <c r="E983" s="272"/>
      <c r="F983" s="273">
        <f>D983*E983</f>
        <v>0</v>
      </c>
    </row>
    <row r="984" spans="1:6" ht="13.8" x14ac:dyDescent="0.3">
      <c r="A984" s="665"/>
      <c r="B984" s="666"/>
      <c r="C984" s="430"/>
      <c r="D984" s="430"/>
      <c r="E984" s="667"/>
      <c r="F984" s="667"/>
    </row>
    <row r="985" spans="1:6" ht="27.6" x14ac:dyDescent="0.3">
      <c r="A985" s="665"/>
      <c r="B985" s="666" t="s">
        <v>1530</v>
      </c>
      <c r="C985" s="430"/>
      <c r="D985" s="430"/>
      <c r="E985" s="667"/>
      <c r="F985" s="667"/>
    </row>
    <row r="986" spans="1:6" ht="13.8" x14ac:dyDescent="0.3">
      <c r="A986" s="665"/>
      <c r="B986" s="666"/>
      <c r="C986" s="430"/>
      <c r="D986" s="430"/>
      <c r="E986" s="667"/>
      <c r="F986" s="667"/>
    </row>
    <row r="987" spans="1:6" ht="13.8" x14ac:dyDescent="0.3">
      <c r="A987" s="564"/>
      <c r="B987" s="668"/>
      <c r="C987" s="430"/>
      <c r="D987" s="431"/>
      <c r="E987" s="669"/>
      <c r="F987" s="669"/>
    </row>
    <row r="988" spans="1:6" ht="13.8" x14ac:dyDescent="0.3">
      <c r="A988" s="343" t="s">
        <v>1531</v>
      </c>
      <c r="B988" s="670"/>
      <c r="C988" s="564"/>
      <c r="D988" s="301"/>
      <c r="E988" s="671"/>
      <c r="F988" s="671"/>
    </row>
    <row r="989" spans="1:6" ht="76.2" customHeight="1" x14ac:dyDescent="0.3">
      <c r="A989" s="672"/>
      <c r="B989" s="712" t="s">
        <v>1828</v>
      </c>
      <c r="C989" s="659"/>
      <c r="D989" s="659"/>
      <c r="E989" s="660"/>
      <c r="F989" s="660"/>
    </row>
    <row r="990" spans="1:6" ht="13.8" x14ac:dyDescent="0.3">
      <c r="A990" s="672"/>
      <c r="B990" s="663"/>
      <c r="C990" s="659"/>
      <c r="D990" s="659"/>
      <c r="E990" s="660"/>
      <c r="F990" s="660"/>
    </row>
    <row r="991" spans="1:6" ht="27.6" x14ac:dyDescent="0.3">
      <c r="A991" s="672"/>
      <c r="B991" s="663" t="s">
        <v>1532</v>
      </c>
      <c r="C991" s="659"/>
      <c r="D991" s="659"/>
      <c r="E991" s="660"/>
      <c r="F991" s="660"/>
    </row>
    <row r="992" spans="1:6" ht="13.8" x14ac:dyDescent="0.3">
      <c r="A992" s="659"/>
      <c r="B992" s="661"/>
      <c r="C992" s="659"/>
      <c r="D992" s="659"/>
      <c r="E992" s="660"/>
      <c r="F992" s="660"/>
    </row>
    <row r="993" spans="1:6" ht="13.8" x14ac:dyDescent="0.3">
      <c r="A993" s="659"/>
      <c r="B993" s="663" t="s">
        <v>1533</v>
      </c>
      <c r="C993" s="664" t="s">
        <v>632</v>
      </c>
      <c r="D993" s="664">
        <v>15</v>
      </c>
      <c r="E993" s="272"/>
      <c r="F993" s="273">
        <f>D993*E993</f>
        <v>0</v>
      </c>
    </row>
    <row r="994" spans="1:6" ht="13.8" x14ac:dyDescent="0.3">
      <c r="A994" s="655"/>
      <c r="B994" s="656"/>
      <c r="C994" s="301"/>
      <c r="D994" s="301"/>
      <c r="E994" s="521"/>
      <c r="F994" s="521"/>
    </row>
    <row r="995" spans="1:6" ht="13.8" x14ac:dyDescent="0.3">
      <c r="A995" s="343" t="s">
        <v>1534</v>
      </c>
      <c r="B995" s="656"/>
      <c r="C995" s="301"/>
      <c r="D995" s="301"/>
      <c r="E995" s="521"/>
      <c r="F995" s="521"/>
    </row>
    <row r="996" spans="1:6" ht="41.4" x14ac:dyDescent="0.3">
      <c r="A996" s="247"/>
      <c r="B996" s="479" t="s">
        <v>1535</v>
      </c>
      <c r="C996" s="265"/>
      <c r="D996" s="266"/>
      <c r="E996" s="251"/>
      <c r="F996" s="252"/>
    </row>
    <row r="997" spans="1:6" ht="13.8" x14ac:dyDescent="0.3">
      <c r="A997" s="247"/>
      <c r="B997" s="479"/>
      <c r="C997" s="265" t="s">
        <v>1053</v>
      </c>
      <c r="D997" s="266">
        <v>1</v>
      </c>
      <c r="E997" s="272"/>
      <c r="F997" s="273">
        <f>D997*E997</f>
        <v>0</v>
      </c>
    </row>
    <row r="998" spans="1:6" ht="13.8" x14ac:dyDescent="0.3">
      <c r="A998" s="343" t="s">
        <v>1536</v>
      </c>
      <c r="B998" s="274"/>
      <c r="C998" s="437"/>
      <c r="D998" s="343"/>
      <c r="E998" s="320"/>
      <c r="F998" s="648"/>
    </row>
    <row r="999" spans="1:6" ht="27.6" x14ac:dyDescent="0.3">
      <c r="A999" s="343"/>
      <c r="B999" s="268" t="s">
        <v>1522</v>
      </c>
      <c r="C999" s="437"/>
      <c r="D999" s="343"/>
      <c r="E999" s="320"/>
      <c r="F999" s="648"/>
    </row>
    <row r="1000" spans="1:6" ht="13.8" x14ac:dyDescent="0.3">
      <c r="A1000" s="343"/>
      <c r="B1000" s="268"/>
      <c r="C1000" s="649" t="s">
        <v>1053</v>
      </c>
      <c r="D1000" s="343">
        <v>1</v>
      </c>
      <c r="E1000" s="272"/>
      <c r="F1000" s="273">
        <f>D1000*E1000</f>
        <v>0</v>
      </c>
    </row>
    <row r="1001" spans="1:6" ht="13.8" x14ac:dyDescent="0.3">
      <c r="A1001" s="343"/>
      <c r="B1001" s="268"/>
      <c r="C1001" s="649"/>
      <c r="D1001" s="343"/>
      <c r="E1001" s="320"/>
      <c r="F1001" s="648"/>
    </row>
    <row r="1002" spans="1:6" ht="13.8" x14ac:dyDescent="0.25">
      <c r="A1002" s="266"/>
      <c r="B1002" s="673"/>
      <c r="C1002" s="499"/>
      <c r="D1002" s="364"/>
      <c r="E1002" s="382"/>
      <c r="F1002" s="651"/>
    </row>
    <row r="1003" spans="1:6" ht="15.6" x14ac:dyDescent="0.25">
      <c r="A1003" s="375" t="s">
        <v>31</v>
      </c>
      <c r="B1003" s="293" t="s">
        <v>1523</v>
      </c>
      <c r="C1003" s="496"/>
      <c r="D1003" s="459"/>
      <c r="E1003" s="377"/>
      <c r="F1003" s="497"/>
    </row>
    <row r="1004" spans="1:6" ht="15.6" x14ac:dyDescent="0.25">
      <c r="A1004" s="379"/>
      <c r="B1004" s="498"/>
      <c r="C1004" s="499"/>
      <c r="D1004" s="364"/>
      <c r="E1004" s="382"/>
      <c r="F1004" s="500"/>
    </row>
    <row r="1005" spans="1:6" ht="18" x14ac:dyDescent="0.25">
      <c r="A1005" s="379"/>
      <c r="B1005" s="674" t="s">
        <v>1132</v>
      </c>
      <c r="C1005" s="499"/>
      <c r="D1005" s="364"/>
      <c r="E1005" s="785">
        <f>SUM(F979:F1000)</f>
        <v>0</v>
      </c>
      <c r="F1005" s="786"/>
    </row>
    <row r="1006" spans="1:6" ht="18" x14ac:dyDescent="0.25">
      <c r="A1006" s="384"/>
      <c r="B1006" s="502"/>
      <c r="C1006" s="503"/>
      <c r="D1006" s="462"/>
      <c r="E1006" s="387"/>
      <c r="F1006" s="504"/>
    </row>
    <row r="1007" spans="1:6" ht="18" x14ac:dyDescent="0.25">
      <c r="A1007" s="427"/>
      <c r="B1007" s="650"/>
      <c r="C1007" s="499"/>
      <c r="D1007" s="364"/>
      <c r="E1007" s="382"/>
      <c r="F1007" s="651"/>
    </row>
    <row r="1008" spans="1:6" ht="18" x14ac:dyDescent="0.25">
      <c r="A1008" s="427"/>
      <c r="B1008" s="650"/>
      <c r="C1008" s="499"/>
      <c r="D1008" s="364"/>
      <c r="E1008" s="382"/>
      <c r="F1008" s="651"/>
    </row>
    <row r="1009" spans="1:6" ht="13.8" x14ac:dyDescent="0.3">
      <c r="A1009" s="652" t="s">
        <v>32</v>
      </c>
      <c r="B1009" s="261" t="s">
        <v>1249</v>
      </c>
      <c r="C1009" s="446"/>
      <c r="D1009" s="446"/>
      <c r="E1009" s="653"/>
      <c r="F1009" s="654"/>
    </row>
    <row r="1010" spans="1:6" ht="13.8" x14ac:dyDescent="0.3">
      <c r="A1010" s="330"/>
      <c r="B1010" s="283"/>
      <c r="C1010" s="266"/>
      <c r="D1010" s="266"/>
      <c r="E1010" s="331"/>
      <c r="F1010" s="331"/>
    </row>
    <row r="1011" spans="1:6" ht="15.6" x14ac:dyDescent="0.3">
      <c r="A1011" s="675" t="s">
        <v>1537</v>
      </c>
      <c r="B1011" s="676"/>
      <c r="C1011" s="620"/>
      <c r="D1011" s="186"/>
      <c r="E1011" s="331"/>
      <c r="F1011" s="341"/>
    </row>
    <row r="1012" spans="1:6" ht="82.8" x14ac:dyDescent="0.3">
      <c r="A1012" s="675"/>
      <c r="B1012" s="283" t="s">
        <v>1504</v>
      </c>
      <c r="C1012" s="620"/>
      <c r="D1012" s="186"/>
      <c r="E1012" s="331"/>
      <c r="F1012" s="341"/>
    </row>
    <row r="1013" spans="1:6" ht="13.8" x14ac:dyDescent="0.3">
      <c r="A1013" s="675"/>
      <c r="B1013" s="283"/>
      <c r="C1013" s="330" t="s">
        <v>1053</v>
      </c>
      <c r="D1013" s="186">
        <v>1</v>
      </c>
      <c r="E1013" s="272"/>
      <c r="F1013" s="273">
        <f>D1013*E1013</f>
        <v>0</v>
      </c>
    </row>
    <row r="1014" spans="1:6" ht="41.4" x14ac:dyDescent="0.3">
      <c r="A1014" s="675"/>
      <c r="B1014" s="317" t="s">
        <v>1505</v>
      </c>
      <c r="C1014" s="620"/>
      <c r="D1014" s="186"/>
      <c r="E1014" s="331"/>
      <c r="F1014" s="341"/>
    </row>
    <row r="1015" spans="1:6" ht="13.8" x14ac:dyDescent="0.25">
      <c r="A1015" s="677" t="s">
        <v>1538</v>
      </c>
      <c r="B1015" s="248"/>
      <c r="C1015" s="300"/>
      <c r="D1015" s="266"/>
      <c r="E1015" s="281"/>
      <c r="F1015" s="423"/>
    </row>
    <row r="1016" spans="1:6" ht="57" customHeight="1" x14ac:dyDescent="0.25">
      <c r="A1016" s="677"/>
      <c r="B1016" s="678" t="s">
        <v>1539</v>
      </c>
      <c r="C1016" s="265"/>
      <c r="D1016" s="266"/>
      <c r="E1016" s="281"/>
      <c r="F1016" s="423"/>
    </row>
    <row r="1017" spans="1:6" ht="13.8" x14ac:dyDescent="0.25">
      <c r="A1017" s="677"/>
      <c r="B1017" s="678"/>
      <c r="C1017" s="265"/>
      <c r="D1017" s="266"/>
      <c r="E1017" s="281"/>
      <c r="F1017" s="423"/>
    </row>
    <row r="1018" spans="1:6" ht="27.6" x14ac:dyDescent="0.25">
      <c r="A1018" s="677"/>
      <c r="B1018" s="678" t="s">
        <v>1540</v>
      </c>
      <c r="C1018" s="265"/>
      <c r="D1018" s="266"/>
      <c r="E1018" s="281"/>
      <c r="F1018" s="423"/>
    </row>
    <row r="1019" spans="1:6" ht="13.8" x14ac:dyDescent="0.3">
      <c r="A1019" s="677"/>
      <c r="B1019" s="678"/>
      <c r="C1019" s="265" t="s">
        <v>1053</v>
      </c>
      <c r="D1019" s="266">
        <v>1</v>
      </c>
      <c r="E1019" s="272"/>
      <c r="F1019" s="273">
        <f>D1019*E1019</f>
        <v>0</v>
      </c>
    </row>
    <row r="1020" spans="1:6" ht="13.8" x14ac:dyDescent="0.25">
      <c r="A1020" s="677"/>
      <c r="B1020" s="678"/>
      <c r="C1020" s="265"/>
      <c r="D1020" s="266"/>
      <c r="E1020" s="281"/>
      <c r="F1020" s="423"/>
    </row>
    <row r="1021" spans="1:6" ht="41.4" x14ac:dyDescent="0.25">
      <c r="A1021" s="677"/>
      <c r="B1021" s="317" t="s">
        <v>1505</v>
      </c>
      <c r="C1021" s="265"/>
      <c r="D1021" s="266"/>
      <c r="E1021" s="281"/>
      <c r="F1021" s="423"/>
    </row>
    <row r="1022" spans="1:6" ht="13.8" x14ac:dyDescent="0.3">
      <c r="A1022" s="675"/>
      <c r="B1022" s="283" t="s">
        <v>416</v>
      </c>
      <c r="C1022" s="620"/>
      <c r="D1022" s="186"/>
      <c r="E1022" s="331"/>
      <c r="F1022" s="341"/>
    </row>
    <row r="1023" spans="1:6" ht="13.8" x14ac:dyDescent="0.25">
      <c r="A1023" s="677" t="s">
        <v>1541</v>
      </c>
      <c r="B1023" s="248"/>
      <c r="C1023" s="265"/>
      <c r="D1023" s="266"/>
      <c r="E1023" s="281"/>
      <c r="F1023" s="423"/>
    </row>
    <row r="1024" spans="1:6" ht="41.4" x14ac:dyDescent="0.25">
      <c r="A1024" s="679"/>
      <c r="B1024" s="283" t="s">
        <v>1542</v>
      </c>
      <c r="C1024" s="266"/>
      <c r="D1024" s="266"/>
      <c r="E1024" s="281"/>
      <c r="F1024" s="680"/>
    </row>
    <row r="1025" spans="1:6" ht="27.6" x14ac:dyDescent="0.25">
      <c r="A1025" s="679"/>
      <c r="B1025" s="283" t="s">
        <v>1543</v>
      </c>
      <c r="C1025" s="266"/>
      <c r="D1025" s="266"/>
      <c r="E1025" s="281"/>
      <c r="F1025" s="680"/>
    </row>
    <row r="1026" spans="1:6" ht="27.6" x14ac:dyDescent="0.25">
      <c r="A1026" s="679"/>
      <c r="B1026" s="283" t="s">
        <v>1544</v>
      </c>
      <c r="C1026" s="266"/>
      <c r="D1026" s="266"/>
      <c r="E1026" s="281"/>
      <c r="F1026" s="680"/>
    </row>
    <row r="1027" spans="1:6" ht="13.8" x14ac:dyDescent="0.25">
      <c r="A1027" s="679"/>
      <c r="B1027" s="283" t="s">
        <v>1545</v>
      </c>
      <c r="C1027" s="266"/>
      <c r="D1027" s="266"/>
      <c r="E1027" s="281"/>
      <c r="F1027" s="680"/>
    </row>
    <row r="1028" spans="1:6" ht="13.8" x14ac:dyDescent="0.3">
      <c r="A1028" s="679"/>
      <c r="B1028" s="342"/>
      <c r="C1028" s="265" t="s">
        <v>1053</v>
      </c>
      <c r="D1028" s="266">
        <v>1</v>
      </c>
      <c r="E1028" s="272"/>
      <c r="F1028" s="273">
        <f>D1028*E1028</f>
        <v>0</v>
      </c>
    </row>
    <row r="1029" spans="1:6" ht="13.8" x14ac:dyDescent="0.3">
      <c r="A1029" s="679"/>
      <c r="B1029" s="342"/>
      <c r="C1029" s="265"/>
      <c r="D1029" s="266"/>
      <c r="E1029" s="281"/>
      <c r="F1029" s="572"/>
    </row>
    <row r="1030" spans="1:6" ht="13.8" x14ac:dyDescent="0.25">
      <c r="A1030" s="681" t="s">
        <v>1546</v>
      </c>
      <c r="B1030" s="333"/>
      <c r="C1030" s="300"/>
      <c r="D1030" s="300"/>
      <c r="E1030" s="334"/>
      <c r="F1030" s="334"/>
    </row>
    <row r="1031" spans="1:6" ht="27.6" x14ac:dyDescent="0.3">
      <c r="A1031" s="621"/>
      <c r="B1031" s="333" t="s">
        <v>1507</v>
      </c>
      <c r="C1031" s="336"/>
      <c r="D1031" s="336"/>
      <c r="E1031" s="337"/>
      <c r="F1031" s="338"/>
    </row>
    <row r="1032" spans="1:6" ht="13.8" x14ac:dyDescent="0.3">
      <c r="A1032" s="621"/>
      <c r="B1032" s="333"/>
      <c r="C1032" s="300" t="s">
        <v>1053</v>
      </c>
      <c r="D1032" s="300">
        <v>1</v>
      </c>
      <c r="E1032" s="272"/>
      <c r="F1032" s="273">
        <f>D1032*E1032</f>
        <v>0</v>
      </c>
    </row>
    <row r="1033" spans="1:6" ht="13.8" x14ac:dyDescent="0.25">
      <c r="A1033" s="621"/>
      <c r="B1033" s="333"/>
      <c r="C1033" s="300"/>
      <c r="D1033" s="300"/>
      <c r="E1033" s="334"/>
      <c r="F1033" s="334"/>
    </row>
    <row r="1034" spans="1:6" ht="13.8" x14ac:dyDescent="0.3">
      <c r="A1034" s="675" t="s">
        <v>1547</v>
      </c>
      <c r="B1034" s="283"/>
      <c r="C1034" s="330"/>
      <c r="D1034" s="186"/>
      <c r="E1034" s="331"/>
      <c r="F1034" s="331"/>
    </row>
    <row r="1035" spans="1:6" ht="27.6" x14ac:dyDescent="0.3">
      <c r="A1035" s="675"/>
      <c r="B1035" s="283" t="s">
        <v>1121</v>
      </c>
      <c r="C1035" s="330"/>
      <c r="D1035" s="186"/>
      <c r="E1035" s="331"/>
      <c r="F1035" s="331"/>
    </row>
    <row r="1036" spans="1:6" ht="13.8" x14ac:dyDescent="0.3">
      <c r="A1036" s="675"/>
      <c r="B1036" s="340"/>
      <c r="C1036" s="330" t="s">
        <v>1053</v>
      </c>
      <c r="D1036" s="186">
        <v>1</v>
      </c>
      <c r="E1036" s="272"/>
      <c r="F1036" s="273">
        <f>D1036*E1036</f>
        <v>0</v>
      </c>
    </row>
    <row r="1037" spans="1:6" ht="13.8" x14ac:dyDescent="0.3">
      <c r="A1037" s="675" t="s">
        <v>1548</v>
      </c>
      <c r="B1037" s="283"/>
      <c r="C1037" s="330"/>
      <c r="D1037" s="625"/>
      <c r="E1037" s="341"/>
      <c r="F1037" s="341"/>
    </row>
    <row r="1038" spans="1:6" ht="27.6" x14ac:dyDescent="0.3">
      <c r="A1038" s="675"/>
      <c r="B1038" s="283" t="s">
        <v>1123</v>
      </c>
      <c r="C1038" s="330"/>
      <c r="D1038" s="625"/>
      <c r="E1038" s="341"/>
      <c r="F1038" s="341"/>
    </row>
    <row r="1039" spans="1:6" ht="13.8" x14ac:dyDescent="0.3">
      <c r="A1039" s="675"/>
      <c r="B1039" s="283"/>
      <c r="C1039" s="330" t="s">
        <v>1053</v>
      </c>
      <c r="D1039" s="186">
        <v>1</v>
      </c>
      <c r="E1039" s="272"/>
      <c r="F1039" s="273">
        <f>D1039*E1039</f>
        <v>0</v>
      </c>
    </row>
    <row r="1040" spans="1:6" ht="13.8" x14ac:dyDescent="0.25">
      <c r="A1040" s="679" t="s">
        <v>1549</v>
      </c>
      <c r="B1040" s="682"/>
      <c r="C1040" s="266"/>
      <c r="D1040" s="266"/>
      <c r="E1040" s="281"/>
      <c r="F1040" s="281"/>
    </row>
    <row r="1041" spans="1:13" ht="69" x14ac:dyDescent="0.3">
      <c r="A1041" s="679"/>
      <c r="B1041" s="248" t="s">
        <v>1550</v>
      </c>
      <c r="C1041" s="186"/>
      <c r="D1041" s="250"/>
      <c r="E1041" s="281"/>
      <c r="F1041" s="281"/>
    </row>
    <row r="1042" spans="1:13" ht="13.8" x14ac:dyDescent="0.3">
      <c r="A1042" s="679"/>
      <c r="B1042" s="248"/>
      <c r="C1042" s="250" t="s">
        <v>1053</v>
      </c>
      <c r="D1042" s="250">
        <v>1</v>
      </c>
      <c r="E1042" s="272"/>
      <c r="F1042" s="273">
        <f>D1042*E1042</f>
        <v>0</v>
      </c>
    </row>
    <row r="1043" spans="1:13" ht="13.8" x14ac:dyDescent="0.3">
      <c r="A1043" s="679"/>
      <c r="B1043" s="248"/>
      <c r="C1043" s="250"/>
      <c r="D1043" s="250"/>
      <c r="E1043" s="281"/>
      <c r="F1043" s="338"/>
    </row>
    <row r="1044" spans="1:13" ht="13.8" x14ac:dyDescent="0.3">
      <c r="A1044" s="265" t="s">
        <v>1551</v>
      </c>
      <c r="B1044" s="324"/>
      <c r="C1044" s="345"/>
      <c r="D1044" s="345"/>
      <c r="E1044" s="327"/>
      <c r="F1044" s="327"/>
    </row>
    <row r="1045" spans="1:13" ht="41.4" x14ac:dyDescent="0.3">
      <c r="A1045" s="323"/>
      <c r="B1045" s="324" t="s">
        <v>1130</v>
      </c>
      <c r="C1045" s="345"/>
      <c r="D1045" s="345"/>
      <c r="E1045" s="327"/>
      <c r="F1045" s="327"/>
    </row>
    <row r="1046" spans="1:13" ht="13.8" x14ac:dyDescent="0.3">
      <c r="A1046" s="323"/>
      <c r="B1046" s="324"/>
      <c r="C1046" s="345"/>
      <c r="D1046" s="345"/>
      <c r="E1046" s="327"/>
      <c r="F1046" s="327"/>
    </row>
    <row r="1047" spans="1:13" ht="13.8" x14ac:dyDescent="0.3">
      <c r="A1047" s="323"/>
      <c r="B1047" s="324"/>
      <c r="C1047" s="325" t="s">
        <v>1053</v>
      </c>
      <c r="D1047" s="325">
        <v>1</v>
      </c>
      <c r="E1047" s="272"/>
      <c r="F1047" s="273">
        <f>D1047*E1047</f>
        <v>0</v>
      </c>
    </row>
    <row r="1048" spans="1:13" ht="13.8" x14ac:dyDescent="0.3">
      <c r="A1048" s="679"/>
      <c r="B1048" s="574"/>
      <c r="C1048" s="250"/>
      <c r="D1048" s="250"/>
      <c r="E1048" s="281"/>
      <c r="F1048" s="555"/>
    </row>
    <row r="1049" spans="1:13" ht="13.8" x14ac:dyDescent="0.3">
      <c r="A1049" s="270"/>
      <c r="B1049" s="494"/>
      <c r="C1049" s="336"/>
      <c r="D1049" s="336"/>
      <c r="E1049" s="315"/>
      <c r="F1049" s="252"/>
    </row>
    <row r="1050" spans="1:13" ht="15.6" x14ac:dyDescent="0.25">
      <c r="A1050" s="375" t="s">
        <v>32</v>
      </c>
      <c r="B1050" s="209" t="s">
        <v>1249</v>
      </c>
      <c r="C1050" s="496"/>
      <c r="D1050" s="459"/>
      <c r="E1050" s="377"/>
      <c r="F1050" s="497"/>
    </row>
    <row r="1051" spans="1:13" ht="15.6" x14ac:dyDescent="0.25">
      <c r="A1051" s="379"/>
      <c r="B1051" s="498"/>
      <c r="C1051" s="499"/>
      <c r="D1051" s="364"/>
      <c r="E1051" s="382"/>
      <c r="F1051" s="500"/>
    </row>
    <row r="1052" spans="1:13" ht="18" x14ac:dyDescent="0.25">
      <c r="A1052" s="379"/>
      <c r="B1052" s="674" t="s">
        <v>1132</v>
      </c>
      <c r="C1052" s="499"/>
      <c r="D1052" s="364"/>
      <c r="E1052" s="785">
        <f>SUM(F1012:F1048)</f>
        <v>0</v>
      </c>
      <c r="F1052" s="786"/>
    </row>
    <row r="1053" spans="1:13" ht="18" x14ac:dyDescent="0.25">
      <c r="A1053" s="384"/>
      <c r="B1053" s="502"/>
      <c r="C1053" s="503"/>
      <c r="D1053" s="462"/>
      <c r="E1053" s="387"/>
      <c r="F1053" s="504"/>
    </row>
    <row r="1055" spans="1:13" ht="26.4" customHeight="1" x14ac:dyDescent="0.25">
      <c r="A1055" s="19"/>
      <c r="B1055" s="731" t="s">
        <v>1776</v>
      </c>
      <c r="C1055" s="731"/>
      <c r="D1055" s="731"/>
      <c r="E1055" s="731"/>
      <c r="F1055" s="731"/>
      <c r="G1055" s="731"/>
      <c r="H1055" s="731"/>
      <c r="I1055" s="731"/>
      <c r="J1055" s="731"/>
      <c r="K1055" s="731"/>
      <c r="L1055" s="731"/>
      <c r="M1055" s="731"/>
    </row>
    <row r="1057" spans="1:9" x14ac:dyDescent="0.25">
      <c r="A1057" s="690"/>
      <c r="B1057" s="692" t="s">
        <v>1578</v>
      </c>
      <c r="C1057" s="16"/>
      <c r="D1057" s="16"/>
      <c r="E1057" s="16"/>
      <c r="F1057" s="29"/>
      <c r="G1057" s="19"/>
      <c r="H1057" s="20"/>
      <c r="I1057" s="21"/>
    </row>
    <row r="1058" spans="1:9" ht="13.2" customHeight="1" x14ac:dyDescent="0.25">
      <c r="A1058" s="691"/>
      <c r="B1058" s="732" t="s">
        <v>1788</v>
      </c>
      <c r="C1058" s="732"/>
      <c r="D1058" s="732"/>
      <c r="E1058" s="732"/>
      <c r="F1058" s="732"/>
      <c r="G1058" s="695"/>
      <c r="H1058" s="695"/>
      <c r="I1058" s="695"/>
    </row>
    <row r="1059" spans="1:9" x14ac:dyDescent="0.25">
      <c r="A1059" s="19"/>
      <c r="B1059" s="732"/>
      <c r="C1059" s="732"/>
      <c r="D1059" s="732"/>
      <c r="E1059" s="732"/>
      <c r="F1059" s="732"/>
      <c r="G1059" s="695"/>
      <c r="H1059" s="695"/>
      <c r="I1059" s="695"/>
    </row>
    <row r="1061" spans="1:9" ht="13.8" x14ac:dyDescent="0.3">
      <c r="A1061" s="183"/>
      <c r="B1061" s="183"/>
      <c r="C1061" s="183"/>
      <c r="D1061" s="183"/>
      <c r="E1061" s="183"/>
    </row>
    <row r="1062" spans="1:9" ht="25.2" x14ac:dyDescent="0.45">
      <c r="A1062" s="787" t="s">
        <v>40</v>
      </c>
      <c r="B1062" s="787"/>
      <c r="C1062" s="787"/>
      <c r="D1062" s="787"/>
      <c r="E1062" s="787"/>
      <c r="F1062" s="787"/>
    </row>
    <row r="1063" spans="1:9" ht="15.6" x14ac:dyDescent="0.3">
      <c r="A1063" s="184"/>
      <c r="B1063" s="185"/>
      <c r="C1063" s="186"/>
      <c r="D1063" s="186"/>
      <c r="F1063" s="187"/>
    </row>
    <row r="1064" spans="1:9" ht="15.6" x14ac:dyDescent="0.3">
      <c r="A1064" s="188" t="s">
        <v>614</v>
      </c>
      <c r="B1064" s="191" t="s">
        <v>1044</v>
      </c>
      <c r="C1064" s="186"/>
      <c r="D1064" s="186"/>
      <c r="E1064" s="683"/>
      <c r="F1064" s="187"/>
    </row>
    <row r="1065" spans="1:9" ht="15.6" x14ac:dyDescent="0.3">
      <c r="A1065" s="188"/>
      <c r="B1065" s="191"/>
      <c r="C1065" s="186"/>
      <c r="D1065" s="186"/>
      <c r="E1065" s="683"/>
      <c r="F1065" s="187"/>
    </row>
    <row r="1066" spans="1:9" ht="15.6" x14ac:dyDescent="0.3">
      <c r="A1066" s="188"/>
      <c r="B1066" s="780" t="s">
        <v>1552</v>
      </c>
      <c r="C1066" s="780"/>
      <c r="D1066" s="186"/>
      <c r="E1066" s="774">
        <f>E107</f>
        <v>0</v>
      </c>
      <c r="F1066" s="774"/>
    </row>
    <row r="1067" spans="1:9" ht="15.6" x14ac:dyDescent="0.3">
      <c r="A1067" s="188"/>
      <c r="B1067" s="780" t="s">
        <v>1553</v>
      </c>
      <c r="C1067" s="780"/>
      <c r="D1067" s="186"/>
      <c r="E1067" s="774">
        <f>E150</f>
        <v>0</v>
      </c>
      <c r="F1067" s="774"/>
    </row>
    <row r="1068" spans="1:9" ht="15.6" x14ac:dyDescent="0.3">
      <c r="A1068" s="188"/>
      <c r="B1068" s="780" t="s">
        <v>1554</v>
      </c>
      <c r="C1068" s="780"/>
      <c r="D1068" s="186"/>
      <c r="E1068" s="774">
        <f>E192</f>
        <v>0</v>
      </c>
      <c r="F1068" s="774"/>
    </row>
    <row r="1069" spans="1:9" ht="15.6" x14ac:dyDescent="0.3">
      <c r="A1069" s="188"/>
      <c r="B1069" s="190"/>
      <c r="C1069" s="190"/>
      <c r="D1069" s="186"/>
      <c r="E1069" s="684"/>
      <c r="F1069" s="684"/>
    </row>
    <row r="1070" spans="1:9" ht="15.6" x14ac:dyDescent="0.3">
      <c r="A1070" s="188" t="s">
        <v>616</v>
      </c>
      <c r="B1070" s="780" t="s">
        <v>1134</v>
      </c>
      <c r="C1070" s="780"/>
      <c r="D1070" s="186"/>
      <c r="E1070" s="683"/>
      <c r="F1070" s="187"/>
    </row>
    <row r="1071" spans="1:9" ht="15.6" x14ac:dyDescent="0.3">
      <c r="A1071" s="188"/>
      <c r="B1071" s="191"/>
      <c r="C1071" s="186"/>
      <c r="D1071" s="186"/>
      <c r="E1071" s="683"/>
      <c r="F1071" s="187"/>
    </row>
    <row r="1072" spans="1:9" ht="31.2" x14ac:dyDescent="0.3">
      <c r="A1072" s="188"/>
      <c r="B1072" s="191" t="s">
        <v>1555</v>
      </c>
      <c r="C1072" s="186"/>
      <c r="D1072" s="186"/>
      <c r="E1072" s="774">
        <f>E216</f>
        <v>0</v>
      </c>
      <c r="F1072" s="774"/>
    </row>
    <row r="1073" spans="1:6" ht="15.6" x14ac:dyDescent="0.3">
      <c r="A1073" s="188"/>
      <c r="B1073" s="191" t="s">
        <v>1556</v>
      </c>
      <c r="C1073" s="186"/>
      <c r="D1073" s="186"/>
      <c r="E1073" s="684"/>
      <c r="F1073" s="684"/>
    </row>
    <row r="1074" spans="1:6" ht="15.6" x14ac:dyDescent="0.3">
      <c r="A1074" s="188"/>
      <c r="B1074" s="780" t="s">
        <v>1557</v>
      </c>
      <c r="C1074" s="780"/>
      <c r="D1074" s="186"/>
      <c r="E1074" s="774">
        <f>E411</f>
        <v>0</v>
      </c>
      <c r="F1074" s="774"/>
    </row>
    <row r="1075" spans="1:6" ht="15.6" x14ac:dyDescent="0.3">
      <c r="A1075" s="188"/>
      <c r="B1075" s="780" t="s">
        <v>1558</v>
      </c>
      <c r="C1075" s="780"/>
      <c r="D1075" s="186"/>
      <c r="E1075" s="774">
        <f>E434</f>
        <v>0</v>
      </c>
      <c r="F1075" s="774"/>
    </row>
    <row r="1076" spans="1:6" ht="15.6" x14ac:dyDescent="0.3">
      <c r="A1076" s="188"/>
      <c r="B1076" s="780" t="s">
        <v>1559</v>
      </c>
      <c r="C1076" s="780"/>
      <c r="D1076" s="186"/>
      <c r="E1076" s="774">
        <f>E483</f>
        <v>0</v>
      </c>
      <c r="F1076" s="774"/>
    </row>
    <row r="1077" spans="1:6" ht="15.6" x14ac:dyDescent="0.3">
      <c r="A1077" s="188"/>
      <c r="B1077" s="190"/>
      <c r="C1077" s="190"/>
      <c r="D1077" s="186"/>
      <c r="E1077" s="684"/>
      <c r="F1077" s="684"/>
    </row>
    <row r="1078" spans="1:6" ht="15.6" x14ac:dyDescent="0.3">
      <c r="A1078" s="188" t="s">
        <v>618</v>
      </c>
      <c r="B1078" s="191" t="s">
        <v>1264</v>
      </c>
      <c r="C1078" s="186"/>
      <c r="D1078" s="186"/>
      <c r="E1078" s="683"/>
      <c r="F1078" s="187"/>
    </row>
    <row r="1079" spans="1:6" ht="15.6" x14ac:dyDescent="0.3">
      <c r="A1079" s="188"/>
      <c r="B1079" s="191"/>
      <c r="C1079" s="186"/>
      <c r="D1079" s="186"/>
      <c r="E1079" s="683"/>
      <c r="F1079" s="187"/>
    </row>
    <row r="1080" spans="1:6" ht="15.6" x14ac:dyDescent="0.3">
      <c r="A1080" s="188"/>
      <c r="B1080" s="780" t="s">
        <v>1560</v>
      </c>
      <c r="C1080" s="780"/>
      <c r="D1080" s="186"/>
      <c r="E1080" s="774">
        <f>F529</f>
        <v>0</v>
      </c>
      <c r="F1080" s="774"/>
    </row>
    <row r="1081" spans="1:6" ht="15.6" x14ac:dyDescent="0.3">
      <c r="A1081" s="188"/>
      <c r="B1081" s="780" t="s">
        <v>1561</v>
      </c>
      <c r="C1081" s="780"/>
      <c r="D1081" s="186"/>
      <c r="E1081" s="774">
        <f>F593</f>
        <v>0</v>
      </c>
      <c r="F1081" s="774"/>
    </row>
    <row r="1082" spans="1:6" ht="15.6" x14ac:dyDescent="0.3">
      <c r="A1082" s="188"/>
      <c r="B1082" s="780" t="s">
        <v>1562</v>
      </c>
      <c r="C1082" s="780"/>
      <c r="D1082" s="186"/>
      <c r="E1082" s="781">
        <f>E648</f>
        <v>0</v>
      </c>
      <c r="F1082" s="781"/>
    </row>
    <row r="1083" spans="1:6" ht="15.6" x14ac:dyDescent="0.3">
      <c r="A1083" s="188"/>
      <c r="B1083" s="190" t="s">
        <v>1563</v>
      </c>
      <c r="C1083" s="190"/>
      <c r="D1083" s="186"/>
      <c r="E1083" s="684"/>
      <c r="F1083" s="684"/>
    </row>
    <row r="1084" spans="1:6" ht="15.6" x14ac:dyDescent="0.3">
      <c r="A1084" s="188"/>
      <c r="B1084" s="780" t="s">
        <v>1564</v>
      </c>
      <c r="C1084" s="780"/>
      <c r="D1084" s="186"/>
      <c r="E1084" s="774">
        <f>F690</f>
        <v>0</v>
      </c>
      <c r="F1084" s="774"/>
    </row>
    <row r="1085" spans="1:6" ht="15.6" x14ac:dyDescent="0.3">
      <c r="A1085" s="188"/>
      <c r="B1085" s="190" t="s">
        <v>1565</v>
      </c>
      <c r="C1085" s="190"/>
      <c r="D1085" s="186"/>
      <c r="E1085" s="684"/>
      <c r="F1085" s="684"/>
    </row>
    <row r="1086" spans="1:6" ht="15.6" x14ac:dyDescent="0.3">
      <c r="A1086" s="188"/>
      <c r="B1086" s="780" t="s">
        <v>1566</v>
      </c>
      <c r="C1086" s="780"/>
      <c r="D1086" s="186"/>
      <c r="E1086" s="774">
        <f>F741</f>
        <v>0</v>
      </c>
      <c r="F1086" s="774"/>
    </row>
    <row r="1087" spans="1:6" ht="15.6" x14ac:dyDescent="0.3">
      <c r="A1087" s="188"/>
      <c r="B1087" s="190" t="s">
        <v>1567</v>
      </c>
      <c r="C1087" s="190"/>
      <c r="D1087" s="186"/>
      <c r="E1087" s="684"/>
      <c r="F1087" s="684"/>
    </row>
    <row r="1088" spans="1:6" ht="15.6" x14ac:dyDescent="0.3">
      <c r="A1088" s="188"/>
      <c r="B1088" s="191"/>
      <c r="C1088" s="186"/>
      <c r="D1088" s="186"/>
      <c r="E1088" s="683"/>
      <c r="F1088" s="187"/>
    </row>
    <row r="1089" spans="1:6" ht="15.6" x14ac:dyDescent="0.3">
      <c r="A1089" s="188" t="s">
        <v>620</v>
      </c>
      <c r="B1089" s="191" t="s">
        <v>1372</v>
      </c>
      <c r="C1089" s="192"/>
      <c r="D1089" s="186"/>
      <c r="E1089" s="683"/>
      <c r="F1089" s="187"/>
    </row>
    <row r="1090" spans="1:6" ht="15.6" x14ac:dyDescent="0.3">
      <c r="A1090" s="188"/>
      <c r="B1090" s="191"/>
      <c r="C1090" s="192"/>
      <c r="D1090" s="186"/>
      <c r="E1090" s="683"/>
      <c r="F1090" s="187"/>
    </row>
    <row r="1091" spans="1:6" ht="31.2" x14ac:dyDescent="0.3">
      <c r="A1091" s="188"/>
      <c r="B1091" s="191" t="s">
        <v>1568</v>
      </c>
      <c r="C1091" s="192"/>
      <c r="D1091" s="193"/>
      <c r="E1091" s="774">
        <f>E894</f>
        <v>0</v>
      </c>
      <c r="F1091" s="774"/>
    </row>
    <row r="1092" spans="1:6" ht="15.6" x14ac:dyDescent="0.3">
      <c r="A1092" s="188"/>
      <c r="B1092" s="191" t="s">
        <v>1569</v>
      </c>
      <c r="C1092" s="192"/>
      <c r="D1092" s="193"/>
      <c r="E1092" s="774">
        <f>E939</f>
        <v>0</v>
      </c>
      <c r="F1092" s="774"/>
    </row>
    <row r="1093" spans="1:6" ht="15.6" x14ac:dyDescent="0.3">
      <c r="A1093" s="188"/>
      <c r="B1093" s="191"/>
      <c r="C1093" s="192"/>
      <c r="D1093" s="193"/>
      <c r="E1093" s="683"/>
      <c r="F1093" s="187"/>
    </row>
    <row r="1094" spans="1:6" ht="15.6" x14ac:dyDescent="0.3">
      <c r="A1094" s="188" t="s">
        <v>622</v>
      </c>
      <c r="B1094" s="191" t="s">
        <v>1514</v>
      </c>
      <c r="C1094" s="192"/>
      <c r="D1094" s="186"/>
      <c r="E1094" s="683"/>
      <c r="F1094" s="187"/>
    </row>
    <row r="1095" spans="1:6" ht="15.6" x14ac:dyDescent="0.3">
      <c r="A1095" s="188"/>
      <c r="B1095" s="191"/>
      <c r="C1095" s="192"/>
      <c r="D1095" s="186"/>
      <c r="E1095" s="774"/>
      <c r="F1095" s="774"/>
    </row>
    <row r="1096" spans="1:6" ht="15.6" x14ac:dyDescent="0.3">
      <c r="A1096" s="188"/>
      <c r="B1096" s="191" t="s">
        <v>1570</v>
      </c>
      <c r="C1096" s="192"/>
      <c r="D1096" s="193"/>
      <c r="E1096" s="774">
        <f>E973</f>
        <v>0</v>
      </c>
      <c r="F1096" s="774"/>
    </row>
    <row r="1097" spans="1:6" ht="15.6" x14ac:dyDescent="0.3">
      <c r="A1097" s="188"/>
      <c r="B1097" s="191" t="s">
        <v>1571</v>
      </c>
      <c r="C1097" s="192"/>
      <c r="D1097" s="193"/>
      <c r="E1097" s="774">
        <f>E1005</f>
        <v>0</v>
      </c>
      <c r="F1097" s="774"/>
    </row>
    <row r="1098" spans="1:6" ht="15.6" x14ac:dyDescent="0.3">
      <c r="A1098" s="188"/>
      <c r="B1098" s="191" t="s">
        <v>1775</v>
      </c>
      <c r="C1098" s="192"/>
      <c r="D1098" s="193"/>
      <c r="E1098" s="774">
        <f>E1052</f>
        <v>0</v>
      </c>
      <c r="F1098" s="774"/>
    </row>
    <row r="1099" spans="1:6" ht="15.6" x14ac:dyDescent="0.3">
      <c r="A1099" s="188"/>
      <c r="B1099" s="191"/>
      <c r="C1099" s="192"/>
      <c r="D1099" s="193"/>
      <c r="E1099" s="683"/>
      <c r="F1099" s="187"/>
    </row>
    <row r="1100" spans="1:6" ht="15.6" x14ac:dyDescent="0.3">
      <c r="A1100" s="194"/>
      <c r="B1100" s="195"/>
      <c r="C1100" s="195"/>
      <c r="D1100" s="196"/>
      <c r="E1100" s="524"/>
      <c r="F1100" s="197"/>
    </row>
    <row r="1101" spans="1:6" ht="25.2" x14ac:dyDescent="0.45">
      <c r="A1101" s="198"/>
      <c r="B1101" s="775" t="s">
        <v>628</v>
      </c>
      <c r="C1101" s="775"/>
      <c r="D1101" s="776">
        <f>SUM(E1066:F1098)</f>
        <v>0</v>
      </c>
      <c r="E1101" s="776"/>
      <c r="F1101" s="777"/>
    </row>
    <row r="1102" spans="1:6" ht="15.6" x14ac:dyDescent="0.3">
      <c r="A1102" s="199"/>
      <c r="B1102" s="3"/>
      <c r="C1102" s="3"/>
      <c r="D1102" s="200"/>
      <c r="E1102" s="522"/>
      <c r="F1102" s="201"/>
    </row>
    <row r="1103" spans="1:6" ht="15.6" x14ac:dyDescent="0.3">
      <c r="A1103" s="207"/>
      <c r="B1103" s="203"/>
      <c r="D1103" s="186"/>
      <c r="E1103" s="331"/>
      <c r="F1103" s="187"/>
    </row>
    <row r="1104" spans="1:6" ht="15.6" x14ac:dyDescent="0.25">
      <c r="A1104" s="778"/>
      <c r="B1104" s="778"/>
      <c r="C1104" s="778"/>
      <c r="D1104" s="778"/>
      <c r="E1104" s="778"/>
      <c r="F1104" s="778"/>
    </row>
    <row r="1105" spans="1:6" ht="15.6" x14ac:dyDescent="0.25">
      <c r="A1105" s="208"/>
      <c r="B1105" s="208"/>
      <c r="C1105" s="208"/>
      <c r="D1105" s="208"/>
      <c r="E1105" s="208"/>
      <c r="F1105" s="208"/>
    </row>
    <row r="1106" spans="1:6" ht="15.6" x14ac:dyDescent="0.25">
      <c r="A1106" s="773"/>
      <c r="B1106" s="773"/>
      <c r="C1106" s="773"/>
      <c r="D1106" s="773"/>
      <c r="E1106" s="773"/>
      <c r="F1106" s="773"/>
    </row>
    <row r="1107" spans="1:6" ht="15.6" x14ac:dyDescent="0.25">
      <c r="A1107" s="209"/>
      <c r="B1107" s="209"/>
      <c r="C1107" s="209"/>
      <c r="D1107" s="209"/>
      <c r="E1107" s="209"/>
      <c r="F1107" s="209"/>
    </row>
    <row r="1108" spans="1:6" ht="15.6" x14ac:dyDescent="0.25">
      <c r="A1108" s="779"/>
      <c r="B1108" s="779"/>
      <c r="C1108" s="779"/>
      <c r="D1108" s="779"/>
      <c r="E1108" s="779"/>
      <c r="F1108" s="779"/>
    </row>
    <row r="1109" spans="1:6" ht="15.6" x14ac:dyDescent="0.25">
      <c r="A1109" s="210"/>
      <c r="B1109" s="210"/>
      <c r="C1109" s="210"/>
      <c r="D1109" s="210"/>
      <c r="E1109" s="210"/>
      <c r="F1109" s="210"/>
    </row>
    <row r="1110" spans="1:6" ht="15.6" x14ac:dyDescent="0.25">
      <c r="A1110" s="773"/>
      <c r="B1110" s="773"/>
      <c r="C1110" s="773"/>
      <c r="D1110" s="773"/>
      <c r="E1110" s="773"/>
      <c r="F1110" s="773"/>
    </row>
  </sheetData>
  <mergeCells count="94">
    <mergeCell ref="G225:G227"/>
    <mergeCell ref="G328:G329"/>
    <mergeCell ref="G540:G542"/>
    <mergeCell ref="G752:G762"/>
    <mergeCell ref="A11:F11"/>
    <mergeCell ref="A13:F13"/>
    <mergeCell ref="A15:F15"/>
    <mergeCell ref="A31:F31"/>
    <mergeCell ref="A35:F35"/>
    <mergeCell ref="A17:F17"/>
    <mergeCell ref="E107:F107"/>
    <mergeCell ref="A19:F19"/>
    <mergeCell ref="A21:F21"/>
    <mergeCell ref="A23:F23"/>
    <mergeCell ref="A25:F25"/>
    <mergeCell ref="A27:F27"/>
    <mergeCell ref="A29:F29"/>
    <mergeCell ref="B44:F44"/>
    <mergeCell ref="B43:G43"/>
    <mergeCell ref="A1:F1"/>
    <mergeCell ref="A3:F3"/>
    <mergeCell ref="A5:F5"/>
    <mergeCell ref="A7:F7"/>
    <mergeCell ref="A9:F9"/>
    <mergeCell ref="B45:F45"/>
    <mergeCell ref="E483:F483"/>
    <mergeCell ref="E150:F150"/>
    <mergeCell ref="E192:F192"/>
    <mergeCell ref="B198:F198"/>
    <mergeCell ref="B199:F199"/>
    <mergeCell ref="B200:F200"/>
    <mergeCell ref="B214:C214"/>
    <mergeCell ref="E216:F216"/>
    <mergeCell ref="B222:F222"/>
    <mergeCell ref="E411:F411"/>
    <mergeCell ref="B417:F417"/>
    <mergeCell ref="E434:F434"/>
    <mergeCell ref="E939:F939"/>
    <mergeCell ref="B489:F489"/>
    <mergeCell ref="B490:F490"/>
    <mergeCell ref="B491:F491"/>
    <mergeCell ref="B495:F495"/>
    <mergeCell ref="B535:F535"/>
    <mergeCell ref="B598:F598"/>
    <mergeCell ref="B599:F599"/>
    <mergeCell ref="E648:F648"/>
    <mergeCell ref="B654:F654"/>
    <mergeCell ref="A747:F747"/>
    <mergeCell ref="E894:F894"/>
    <mergeCell ref="B1068:C1068"/>
    <mergeCell ref="E1068:F1068"/>
    <mergeCell ref="B945:F945"/>
    <mergeCell ref="B946:E946"/>
    <mergeCell ref="B947:F947"/>
    <mergeCell ref="E973:F973"/>
    <mergeCell ref="E1005:F1005"/>
    <mergeCell ref="E1052:F1052"/>
    <mergeCell ref="B1058:F1059"/>
    <mergeCell ref="A1062:F1062"/>
    <mergeCell ref="B1066:C1066"/>
    <mergeCell ref="E1066:F1066"/>
    <mergeCell ref="B1067:C1067"/>
    <mergeCell ref="E1067:F1067"/>
    <mergeCell ref="B1055:M1055"/>
    <mergeCell ref="B1070:C1070"/>
    <mergeCell ref="E1072:F1072"/>
    <mergeCell ref="B1074:C1074"/>
    <mergeCell ref="E1074:F1074"/>
    <mergeCell ref="B1075:C1075"/>
    <mergeCell ref="E1075:F1075"/>
    <mergeCell ref="B1076:C1076"/>
    <mergeCell ref="E1076:F1076"/>
    <mergeCell ref="B1080:C1080"/>
    <mergeCell ref="E1080:F1080"/>
    <mergeCell ref="B1081:C1081"/>
    <mergeCell ref="E1081:F1081"/>
    <mergeCell ref="B1082:C1082"/>
    <mergeCell ref="E1082:F1082"/>
    <mergeCell ref="B1084:C1084"/>
    <mergeCell ref="E1084:F1084"/>
    <mergeCell ref="B1086:C1086"/>
    <mergeCell ref="E1086:F1086"/>
    <mergeCell ref="A1110:F1110"/>
    <mergeCell ref="E1091:F1091"/>
    <mergeCell ref="E1092:F1092"/>
    <mergeCell ref="E1095:F1095"/>
    <mergeCell ref="E1096:F1096"/>
    <mergeCell ref="E1097:F1097"/>
    <mergeCell ref="E1098:F1098"/>
    <mergeCell ref="B1101:C1101"/>
    <mergeCell ref="D1101:F1101"/>
    <mergeCell ref="A1104:F1104"/>
    <mergeCell ref="A1106:F1106"/>
    <mergeCell ref="A1108:F1108"/>
  </mergeCells>
  <pageMargins left="0.31496062992125984" right="0.31496062992125984" top="0.55118110236220474" bottom="0.35433070866141736"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60"/>
  <sheetViews>
    <sheetView topLeftCell="A140" workbookViewId="0">
      <selection activeCell="B160" sqref="B160"/>
    </sheetView>
  </sheetViews>
  <sheetFormatPr defaultRowHeight="13.2" x14ac:dyDescent="0.25"/>
  <cols>
    <col min="1" max="1" width="5.44140625" customWidth="1"/>
    <col min="2" max="2" width="9.109375" customWidth="1"/>
    <col min="5" max="5" width="13.5546875" customWidth="1"/>
    <col min="6" max="6" width="5.5546875" customWidth="1"/>
    <col min="7" max="7" width="7.6640625" customWidth="1"/>
    <col min="8" max="8" width="13.44140625" customWidth="1"/>
    <col min="9" max="9" width="16.109375" customWidth="1"/>
    <col min="10" max="10" width="8.88671875" customWidth="1"/>
  </cols>
  <sheetData>
    <row r="1" spans="1:10" x14ac:dyDescent="0.25">
      <c r="A1" s="741" t="s">
        <v>1587</v>
      </c>
      <c r="B1" s="741"/>
      <c r="C1" s="741"/>
      <c r="D1" s="741"/>
      <c r="E1" s="741"/>
      <c r="F1" s="741"/>
      <c r="G1" s="741"/>
      <c r="H1" s="741"/>
      <c r="I1" s="741"/>
    </row>
    <row r="2" spans="1:10" x14ac:dyDescent="0.25">
      <c r="A2" s="36"/>
      <c r="B2" s="37"/>
      <c r="C2" s="37"/>
      <c r="D2" s="37"/>
      <c r="E2" s="37"/>
      <c r="F2" s="38"/>
      <c r="G2" s="38"/>
      <c r="H2" s="38"/>
      <c r="I2" s="38"/>
    </row>
    <row r="3" spans="1:10" x14ac:dyDescent="0.25">
      <c r="A3" s="36" t="s">
        <v>260</v>
      </c>
      <c r="B3" s="37"/>
      <c r="C3" s="37"/>
      <c r="D3" s="37"/>
      <c r="E3" s="37"/>
      <c r="F3" s="38"/>
      <c r="G3" s="38"/>
      <c r="H3" s="38"/>
      <c r="I3" s="38"/>
    </row>
    <row r="4" spans="1:10" x14ac:dyDescent="0.25">
      <c r="A4" s="36"/>
      <c r="B4" s="37"/>
      <c r="C4" s="37"/>
      <c r="D4" s="37"/>
      <c r="E4" s="37"/>
      <c r="F4" s="38"/>
      <c r="G4" s="38"/>
      <c r="H4" s="38"/>
      <c r="I4" s="38"/>
    </row>
    <row r="5" spans="1:10" ht="12.75" customHeight="1" x14ac:dyDescent="0.25">
      <c r="A5" s="39" t="s">
        <v>4</v>
      </c>
      <c r="B5" s="734" t="s">
        <v>5</v>
      </c>
      <c r="C5" s="734"/>
      <c r="D5" s="734"/>
      <c r="E5" s="734"/>
      <c r="F5" s="39" t="s">
        <v>6</v>
      </c>
      <c r="G5" s="39" t="s">
        <v>7</v>
      </c>
      <c r="H5" s="39" t="s">
        <v>9</v>
      </c>
      <c r="I5" s="39" t="s">
        <v>8</v>
      </c>
      <c r="J5" s="700"/>
    </row>
    <row r="6" spans="1:10" x14ac:dyDescent="0.25">
      <c r="A6" s="38"/>
      <c r="B6" s="37"/>
      <c r="C6" s="37"/>
      <c r="D6" s="37"/>
      <c r="E6" s="37"/>
      <c r="F6" s="38"/>
      <c r="G6" s="38"/>
      <c r="H6" s="38"/>
      <c r="I6" s="38"/>
    </row>
    <row r="7" spans="1:10" ht="78" customHeight="1" x14ac:dyDescent="0.25">
      <c r="A7" s="40" t="s">
        <v>11</v>
      </c>
      <c r="B7" s="726" t="s">
        <v>261</v>
      </c>
      <c r="C7" s="726"/>
      <c r="D7" s="726"/>
      <c r="E7" s="726"/>
      <c r="F7" s="38" t="s">
        <v>10</v>
      </c>
      <c r="G7" s="41">
        <v>1</v>
      </c>
      <c r="H7" s="42"/>
      <c r="I7" s="42">
        <f>G7*H7</f>
        <v>0</v>
      </c>
    </row>
    <row r="9" spans="1:10" ht="97.8" customHeight="1" x14ac:dyDescent="0.25">
      <c r="A9" s="53" t="s">
        <v>12</v>
      </c>
      <c r="B9" s="725" t="s">
        <v>262</v>
      </c>
      <c r="C9" s="725"/>
      <c r="D9" s="725"/>
      <c r="E9" s="725"/>
      <c r="F9" s="54" t="s">
        <v>188</v>
      </c>
      <c r="G9" s="55">
        <v>1437</v>
      </c>
      <c r="H9" s="5"/>
      <c r="I9" s="42">
        <f>G9*H9</f>
        <v>0</v>
      </c>
    </row>
    <row r="10" spans="1:10" x14ac:dyDescent="0.25">
      <c r="A10" s="4"/>
      <c r="B10" s="4"/>
      <c r="C10" s="4"/>
      <c r="D10" s="4"/>
      <c r="E10" s="4"/>
      <c r="F10" s="4"/>
      <c r="G10" s="4"/>
      <c r="H10" s="4"/>
      <c r="I10" s="4"/>
    </row>
    <row r="11" spans="1:10" ht="59.4" customHeight="1" x14ac:dyDescent="0.25">
      <c r="A11" s="43" t="s">
        <v>13</v>
      </c>
      <c r="B11" s="733" t="s">
        <v>263</v>
      </c>
      <c r="C11" s="733"/>
      <c r="D11" s="733"/>
      <c r="E11" s="733"/>
      <c r="F11" s="39" t="s">
        <v>188</v>
      </c>
      <c r="G11" s="44">
        <f>G9</f>
        <v>1437</v>
      </c>
      <c r="H11" s="45"/>
      <c r="I11" s="45">
        <f>G11*H11</f>
        <v>0</v>
      </c>
    </row>
    <row r="13" spans="1:10" x14ac:dyDescent="0.25">
      <c r="E13" s="46"/>
      <c r="F13" s="47" t="s">
        <v>260</v>
      </c>
      <c r="H13" s="48" t="s">
        <v>15</v>
      </c>
      <c r="I13" s="49">
        <f>SUM(I7:I11)</f>
        <v>0</v>
      </c>
    </row>
    <row r="16" spans="1:10" x14ac:dyDescent="0.25">
      <c r="A16" s="36" t="s">
        <v>264</v>
      </c>
      <c r="B16" s="37"/>
      <c r="C16" s="37"/>
      <c r="D16" s="37"/>
      <c r="E16" s="37"/>
      <c r="F16" s="38"/>
      <c r="G16" s="38"/>
      <c r="H16" s="38"/>
      <c r="I16" s="38"/>
    </row>
    <row r="17" spans="1:9" x14ac:dyDescent="0.25">
      <c r="A17" s="36"/>
      <c r="B17" s="37"/>
      <c r="C17" s="37"/>
      <c r="D17" s="37"/>
      <c r="E17" s="37"/>
      <c r="F17" s="38"/>
      <c r="G17" s="38"/>
      <c r="H17" s="38"/>
      <c r="I17" s="38"/>
    </row>
    <row r="18" spans="1:9" x14ac:dyDescent="0.25">
      <c r="A18" s="39" t="s">
        <v>4</v>
      </c>
      <c r="B18" s="734" t="s">
        <v>5</v>
      </c>
      <c r="C18" s="734"/>
      <c r="D18" s="734"/>
      <c r="E18" s="734"/>
      <c r="F18" s="39" t="s">
        <v>6</v>
      </c>
      <c r="G18" s="39" t="s">
        <v>7</v>
      </c>
      <c r="H18" s="39" t="s">
        <v>9</v>
      </c>
      <c r="I18" s="39" t="s">
        <v>8</v>
      </c>
    </row>
    <row r="19" spans="1:9" x14ac:dyDescent="0.25">
      <c r="A19" s="38"/>
      <c r="B19" s="37"/>
      <c r="C19" s="37"/>
      <c r="D19" s="37"/>
      <c r="E19" s="37"/>
      <c r="F19" s="38"/>
      <c r="G19" s="38"/>
      <c r="H19" s="38"/>
      <c r="I19" s="38"/>
    </row>
    <row r="20" spans="1:9" ht="94.5" customHeight="1" x14ac:dyDescent="0.25">
      <c r="A20" s="40" t="s">
        <v>16</v>
      </c>
      <c r="B20" s="726" t="s">
        <v>297</v>
      </c>
      <c r="C20" s="726"/>
      <c r="D20" s="726"/>
      <c r="E20" s="726"/>
      <c r="F20" s="54" t="s">
        <v>186</v>
      </c>
      <c r="G20" s="55">
        <f>914.36*0.3</f>
        <v>274.30799999999999</v>
      </c>
      <c r="H20" s="5"/>
      <c r="I20" s="42">
        <f>G20*H20</f>
        <v>0</v>
      </c>
    </row>
    <row r="22" spans="1:9" ht="147" customHeight="1" x14ac:dyDescent="0.25">
      <c r="A22" s="40" t="s">
        <v>17</v>
      </c>
      <c r="B22" s="726" t="s">
        <v>299</v>
      </c>
      <c r="C22" s="726"/>
      <c r="D22" s="726"/>
      <c r="E22" s="726"/>
      <c r="F22" s="54" t="s">
        <v>188</v>
      </c>
      <c r="G22" s="55">
        <f>914.36</f>
        <v>914.36</v>
      </c>
      <c r="H22" s="56"/>
      <c r="I22" s="42">
        <f>G22*H22</f>
        <v>0</v>
      </c>
    </row>
    <row r="24" spans="1:9" ht="53.25" customHeight="1" x14ac:dyDescent="0.25">
      <c r="A24" s="43" t="s">
        <v>18</v>
      </c>
      <c r="B24" s="733" t="s">
        <v>320</v>
      </c>
      <c r="C24" s="733"/>
      <c r="D24" s="733"/>
      <c r="E24" s="733"/>
      <c r="F24" s="39" t="s">
        <v>186</v>
      </c>
      <c r="G24" s="44">
        <f>G20*1.3</f>
        <v>356.60039999999998</v>
      </c>
      <c r="H24" s="6"/>
      <c r="I24" s="45">
        <f>G24*H24</f>
        <v>0</v>
      </c>
    </row>
    <row r="26" spans="1:9" x14ac:dyDescent="0.25">
      <c r="E26" s="46"/>
      <c r="F26" s="47" t="s">
        <v>264</v>
      </c>
      <c r="H26" s="48" t="s">
        <v>15</v>
      </c>
      <c r="I26" s="49">
        <f>SUM(I20:I24)</f>
        <v>0</v>
      </c>
    </row>
    <row r="27" spans="1:9" x14ac:dyDescent="0.25">
      <c r="E27" s="46"/>
      <c r="F27" s="47"/>
      <c r="H27" s="232"/>
      <c r="I27" s="49"/>
    </row>
    <row r="28" spans="1:9" x14ac:dyDescent="0.25">
      <c r="E28" s="46"/>
      <c r="F28" s="47"/>
      <c r="H28" s="232"/>
      <c r="I28" s="49"/>
    </row>
    <row r="29" spans="1:9" x14ac:dyDescent="0.25">
      <c r="E29" s="46"/>
      <c r="F29" s="47"/>
      <c r="H29" s="232"/>
      <c r="I29" s="49"/>
    </row>
    <row r="30" spans="1:9" x14ac:dyDescent="0.25">
      <c r="A30" s="36" t="s">
        <v>265</v>
      </c>
      <c r="B30" s="37"/>
      <c r="C30" s="37"/>
      <c r="D30" s="37"/>
      <c r="E30" s="37"/>
      <c r="F30" s="38"/>
      <c r="G30" s="38"/>
      <c r="H30" s="38"/>
      <c r="I30" s="38"/>
    </row>
    <row r="31" spans="1:9" x14ac:dyDescent="0.25">
      <c r="A31" s="36"/>
      <c r="B31" s="37"/>
      <c r="C31" s="37"/>
      <c r="D31" s="37"/>
      <c r="E31" s="37"/>
      <c r="F31" s="38"/>
      <c r="G31" s="38"/>
      <c r="H31" s="38"/>
      <c r="I31" s="38"/>
    </row>
    <row r="32" spans="1:9" x14ac:dyDescent="0.25">
      <c r="A32" s="39" t="s">
        <v>4</v>
      </c>
      <c r="B32" s="734" t="s">
        <v>5</v>
      </c>
      <c r="C32" s="734"/>
      <c r="D32" s="734"/>
      <c r="E32" s="734"/>
      <c r="F32" s="39" t="s">
        <v>6</v>
      </c>
      <c r="G32" s="39" t="s">
        <v>7</v>
      </c>
      <c r="H32" s="39" t="s">
        <v>9</v>
      </c>
      <c r="I32" s="39" t="s">
        <v>8</v>
      </c>
    </row>
    <row r="33" spans="1:9" x14ac:dyDescent="0.25">
      <c r="A33" s="38"/>
      <c r="B33" s="37"/>
      <c r="C33" s="37"/>
      <c r="D33" s="37"/>
      <c r="E33" s="37"/>
      <c r="F33" s="38"/>
      <c r="G33" s="54"/>
      <c r="H33" s="38"/>
      <c r="I33" s="38"/>
    </row>
    <row r="34" spans="1:9" ht="167.4" customHeight="1" x14ac:dyDescent="0.25">
      <c r="A34" s="40" t="s">
        <v>23</v>
      </c>
      <c r="B34" s="726" t="s">
        <v>300</v>
      </c>
      <c r="C34" s="726"/>
      <c r="D34" s="726"/>
      <c r="E34" s="726"/>
      <c r="F34" s="54"/>
      <c r="G34" s="55"/>
      <c r="H34" s="56"/>
      <c r="I34" s="56"/>
    </row>
    <row r="35" spans="1:9" ht="15.6" x14ac:dyDescent="0.25">
      <c r="A35" s="40"/>
      <c r="B35" s="50" t="s">
        <v>266</v>
      </c>
      <c r="C35" s="34"/>
      <c r="D35" s="34"/>
      <c r="E35" s="34"/>
      <c r="F35" s="54" t="s">
        <v>186</v>
      </c>
      <c r="G35" s="55">
        <f>914.36*0.35</f>
        <v>320.02600000000001</v>
      </c>
      <c r="H35" s="56"/>
      <c r="I35" s="42">
        <f>G35*H35</f>
        <v>0</v>
      </c>
    </row>
    <row r="36" spans="1:9" ht="15.6" x14ac:dyDescent="0.25">
      <c r="A36" s="40"/>
      <c r="B36" s="50" t="s">
        <v>298</v>
      </c>
      <c r="C36" s="34"/>
      <c r="D36" s="34"/>
      <c r="E36" s="34"/>
      <c r="F36" s="54" t="s">
        <v>186</v>
      </c>
      <c r="G36" s="55">
        <f>914.36*0.05</f>
        <v>45.718000000000004</v>
      </c>
      <c r="H36" s="56"/>
      <c r="I36" s="42">
        <f>G36*H36</f>
        <v>0</v>
      </c>
    </row>
    <row r="37" spans="1:9" x14ac:dyDescent="0.25">
      <c r="G37" s="4"/>
    </row>
    <row r="38" spans="1:9" ht="190.2" customHeight="1" x14ac:dyDescent="0.25">
      <c r="A38" s="40" t="s">
        <v>24</v>
      </c>
      <c r="B38" s="726" t="s">
        <v>301</v>
      </c>
      <c r="C38" s="726"/>
      <c r="D38" s="726"/>
      <c r="E38" s="726"/>
      <c r="F38" s="54"/>
      <c r="G38" s="55"/>
      <c r="H38" s="56"/>
      <c r="I38" s="56"/>
    </row>
    <row r="39" spans="1:9" ht="15.6" x14ac:dyDescent="0.25">
      <c r="B39" s="50" t="s">
        <v>302</v>
      </c>
      <c r="C39" s="34"/>
      <c r="D39" s="34"/>
      <c r="E39" s="34"/>
      <c r="F39" s="54" t="s">
        <v>186</v>
      </c>
      <c r="G39" s="55">
        <f>120.35*0.2</f>
        <v>24.07</v>
      </c>
      <c r="H39" s="56"/>
      <c r="I39" s="42">
        <f>G39*H39</f>
        <v>0</v>
      </c>
    </row>
    <row r="40" spans="1:9" ht="15.6" x14ac:dyDescent="0.25">
      <c r="B40" s="50" t="s">
        <v>303</v>
      </c>
      <c r="C40" s="34"/>
      <c r="D40" s="34"/>
      <c r="E40" s="34"/>
      <c r="F40" s="54" t="s">
        <v>186</v>
      </c>
      <c r="G40" s="55">
        <f>120.35*0.05</f>
        <v>6.0175000000000001</v>
      </c>
      <c r="H40" s="56"/>
      <c r="I40" s="42">
        <f>G40*H40</f>
        <v>0</v>
      </c>
    </row>
    <row r="42" spans="1:9" ht="144" customHeight="1" x14ac:dyDescent="0.25">
      <c r="A42" s="40" t="s">
        <v>25</v>
      </c>
      <c r="B42" s="726" t="s">
        <v>438</v>
      </c>
      <c r="C42" s="726"/>
      <c r="D42" s="726"/>
      <c r="E42" s="726"/>
      <c r="F42" s="54" t="s">
        <v>186</v>
      </c>
      <c r="G42" s="55">
        <f>120.35*0.05</f>
        <v>6.0175000000000001</v>
      </c>
      <c r="H42" s="56"/>
      <c r="I42" s="42">
        <f>G42*H42</f>
        <v>0</v>
      </c>
    </row>
    <row r="44" spans="1:9" ht="52.5" customHeight="1" x14ac:dyDescent="0.25">
      <c r="A44" s="40" t="s">
        <v>26</v>
      </c>
      <c r="B44" s="726" t="s">
        <v>304</v>
      </c>
      <c r="C44" s="726"/>
      <c r="D44" s="726"/>
      <c r="E44" s="726"/>
      <c r="F44" s="54" t="s">
        <v>188</v>
      </c>
      <c r="G44" s="55">
        <f>914.36</f>
        <v>914.36</v>
      </c>
      <c r="H44" s="56"/>
      <c r="I44" s="42">
        <f>G44*H44</f>
        <v>0</v>
      </c>
    </row>
    <row r="45" spans="1:9" x14ac:dyDescent="0.25">
      <c r="A45" s="40"/>
      <c r="B45" s="34"/>
      <c r="C45" s="34"/>
      <c r="D45" s="34"/>
      <c r="E45" s="34"/>
      <c r="F45" s="54"/>
      <c r="G45" s="55"/>
      <c r="H45" s="56"/>
      <c r="I45" s="56"/>
    </row>
    <row r="46" spans="1:9" ht="40.5" customHeight="1" x14ac:dyDescent="0.25">
      <c r="A46" s="40" t="s">
        <v>27</v>
      </c>
      <c r="B46" s="726" t="s">
        <v>305</v>
      </c>
      <c r="C46" s="726"/>
      <c r="D46" s="726"/>
      <c r="E46" s="726"/>
      <c r="F46" s="54" t="s">
        <v>188</v>
      </c>
      <c r="G46" s="55">
        <f>135.2</f>
        <v>135.19999999999999</v>
      </c>
      <c r="H46" s="56"/>
      <c r="I46" s="42">
        <f>G46*H46</f>
        <v>0</v>
      </c>
    </row>
    <row r="48" spans="1:9" ht="53.25" customHeight="1" x14ac:dyDescent="0.25">
      <c r="A48" s="40" t="s">
        <v>63</v>
      </c>
      <c r="B48" s="726" t="s">
        <v>306</v>
      </c>
      <c r="C48" s="726"/>
      <c r="D48" s="726"/>
      <c r="E48" s="726"/>
      <c r="F48" s="54" t="s">
        <v>188</v>
      </c>
      <c r="G48" s="55">
        <f>914.36</f>
        <v>914.36</v>
      </c>
      <c r="H48" s="56"/>
      <c r="I48" s="42">
        <f>G48*H48</f>
        <v>0</v>
      </c>
    </row>
    <row r="49" spans="1:9" x14ac:dyDescent="0.25">
      <c r="A49" s="40"/>
      <c r="B49" s="34"/>
      <c r="C49" s="34"/>
      <c r="D49" s="34"/>
      <c r="E49" s="34"/>
      <c r="F49" s="54"/>
      <c r="G49" s="55"/>
      <c r="H49" s="56"/>
      <c r="I49" s="56"/>
    </row>
    <row r="50" spans="1:9" ht="106.2" customHeight="1" x14ac:dyDescent="0.25">
      <c r="A50" s="40" t="s">
        <v>64</v>
      </c>
      <c r="B50" s="726" t="s">
        <v>268</v>
      </c>
      <c r="C50" s="726"/>
      <c r="D50" s="726"/>
      <c r="E50" s="726"/>
      <c r="F50" s="54" t="s">
        <v>19</v>
      </c>
      <c r="G50" s="55">
        <f>125.62+2.27+12.74+2.82+4.41+30.94+4.5+1.57*2+4.5+7.52+3.7+4.5+1.57+1.92+7.82</f>
        <v>217.96999999999994</v>
      </c>
      <c r="H50" s="56"/>
      <c r="I50" s="42">
        <f>G50*H50</f>
        <v>0</v>
      </c>
    </row>
    <row r="52" spans="1:9" ht="113.4" customHeight="1" x14ac:dyDescent="0.25">
      <c r="A52" s="43" t="s">
        <v>67</v>
      </c>
      <c r="B52" s="733" t="s">
        <v>307</v>
      </c>
      <c r="C52" s="733"/>
      <c r="D52" s="733"/>
      <c r="E52" s="733"/>
      <c r="F52" s="39" t="s">
        <v>19</v>
      </c>
      <c r="G52" s="44">
        <v>31.7</v>
      </c>
      <c r="H52" s="45"/>
      <c r="I52" s="45">
        <f>G52*H52</f>
        <v>0</v>
      </c>
    </row>
    <row r="54" spans="1:9" x14ac:dyDescent="0.25">
      <c r="E54" s="46"/>
      <c r="F54" s="47" t="s">
        <v>269</v>
      </c>
      <c r="H54" s="48" t="s">
        <v>15</v>
      </c>
      <c r="I54" s="49">
        <f>SUM(I35:I52)</f>
        <v>0</v>
      </c>
    </row>
    <row r="57" spans="1:9" x14ac:dyDescent="0.25">
      <c r="A57" s="36" t="s">
        <v>323</v>
      </c>
      <c r="B57" s="37"/>
      <c r="C57" s="37"/>
      <c r="D57" s="37"/>
      <c r="E57" s="37"/>
      <c r="F57" s="38"/>
      <c r="G57" s="38"/>
      <c r="H57" s="38"/>
      <c r="I57" s="38"/>
    </row>
    <row r="58" spans="1:9" x14ac:dyDescent="0.25">
      <c r="A58" s="36"/>
      <c r="B58" s="37"/>
      <c r="C58" s="37"/>
      <c r="D58" s="37"/>
      <c r="E58" s="37"/>
      <c r="F58" s="38"/>
      <c r="G58" s="38"/>
      <c r="H58" s="38"/>
      <c r="I58" s="38"/>
    </row>
    <row r="59" spans="1:9" x14ac:dyDescent="0.25">
      <c r="A59" s="39" t="s">
        <v>4</v>
      </c>
      <c r="B59" s="734" t="s">
        <v>5</v>
      </c>
      <c r="C59" s="734"/>
      <c r="D59" s="734"/>
      <c r="E59" s="734"/>
      <c r="F59" s="39" t="s">
        <v>6</v>
      </c>
      <c r="G59" s="39" t="s">
        <v>7</v>
      </c>
      <c r="H59" s="39" t="s">
        <v>9</v>
      </c>
      <c r="I59" s="39" t="s">
        <v>8</v>
      </c>
    </row>
    <row r="60" spans="1:9" x14ac:dyDescent="0.25">
      <c r="A60" s="38"/>
      <c r="B60" s="37"/>
      <c r="C60" s="37"/>
      <c r="D60" s="37"/>
      <c r="E60" s="37"/>
      <c r="F60" s="38"/>
      <c r="G60" s="54"/>
      <c r="H60" s="38"/>
      <c r="I60" s="38"/>
    </row>
    <row r="61" spans="1:9" ht="132" customHeight="1" x14ac:dyDescent="0.25">
      <c r="A61" s="40" t="s">
        <v>28</v>
      </c>
      <c r="B61" s="726" t="s">
        <v>308</v>
      </c>
      <c r="C61" s="726"/>
      <c r="D61" s="726"/>
      <c r="E61" s="726"/>
      <c r="F61" s="54" t="s">
        <v>86</v>
      </c>
      <c r="G61" s="55">
        <v>2</v>
      </c>
      <c r="H61" s="56"/>
      <c r="I61" s="42">
        <f>G61*H61</f>
        <v>0</v>
      </c>
    </row>
    <row r="63" spans="1:9" ht="104.25" customHeight="1" x14ac:dyDescent="0.25">
      <c r="A63" s="40" t="s">
        <v>29</v>
      </c>
      <c r="B63" s="726" t="s">
        <v>309</v>
      </c>
      <c r="C63" s="726"/>
      <c r="D63" s="726"/>
      <c r="E63" s="726"/>
      <c r="F63" s="54" t="s">
        <v>19</v>
      </c>
      <c r="G63" s="55">
        <f>18.64+4.68+52.22+8.46+16.5</f>
        <v>100.5</v>
      </c>
      <c r="H63" s="56"/>
      <c r="I63" s="42">
        <f>G63*H63</f>
        <v>0</v>
      </c>
    </row>
    <row r="65" spans="1:9" ht="92.25" customHeight="1" x14ac:dyDescent="0.25">
      <c r="A65" s="40" t="s">
        <v>228</v>
      </c>
      <c r="B65" s="726" t="s">
        <v>270</v>
      </c>
      <c r="C65" s="726"/>
      <c r="D65" s="726"/>
      <c r="E65" s="726"/>
      <c r="F65" s="54"/>
      <c r="G65" s="55"/>
      <c r="H65" s="56"/>
      <c r="I65" s="56"/>
    </row>
    <row r="66" spans="1:9" x14ac:dyDescent="0.25">
      <c r="A66" s="3"/>
      <c r="B66" s="65" t="s">
        <v>310</v>
      </c>
      <c r="C66" s="3"/>
      <c r="D66" s="65"/>
      <c r="E66" s="66"/>
      <c r="F66" s="39" t="s">
        <v>19</v>
      </c>
      <c r="G66" s="44">
        <v>9</v>
      </c>
      <c r="H66" s="45"/>
      <c r="I66" s="45">
        <f>G66*H66</f>
        <v>0</v>
      </c>
    </row>
    <row r="68" spans="1:9" x14ac:dyDescent="0.25">
      <c r="E68" s="46"/>
      <c r="F68" s="47" t="s">
        <v>323</v>
      </c>
      <c r="H68" s="48" t="s">
        <v>15</v>
      </c>
      <c r="I68" s="49">
        <f>SUM(I61:I66)</f>
        <v>0</v>
      </c>
    </row>
    <row r="69" spans="1:9" x14ac:dyDescent="0.25">
      <c r="E69" s="46"/>
      <c r="F69" s="47"/>
      <c r="H69" s="48"/>
      <c r="I69" s="49"/>
    </row>
    <row r="71" spans="1:9" x14ac:dyDescent="0.25">
      <c r="A71" s="36" t="s">
        <v>329</v>
      </c>
    </row>
    <row r="72" spans="1:9" x14ac:dyDescent="0.25">
      <c r="A72" s="36"/>
    </row>
    <row r="73" spans="1:9" x14ac:dyDescent="0.25">
      <c r="A73" s="36" t="s">
        <v>271</v>
      </c>
      <c r="B73" s="37"/>
      <c r="C73" s="37"/>
      <c r="D73" s="37"/>
      <c r="E73" s="37"/>
      <c r="F73" s="38"/>
      <c r="G73" s="38"/>
      <c r="H73" s="38"/>
      <c r="I73" s="38"/>
    </row>
    <row r="74" spans="1:9" x14ac:dyDescent="0.25">
      <c r="A74" s="36"/>
      <c r="B74" s="37"/>
      <c r="C74" s="37"/>
      <c r="D74" s="37"/>
      <c r="E74" s="37"/>
      <c r="F74" s="38"/>
      <c r="G74" s="38"/>
      <c r="H74" s="38"/>
      <c r="I74" s="38"/>
    </row>
    <row r="75" spans="1:9" x14ac:dyDescent="0.25">
      <c r="A75" s="39" t="s">
        <v>4</v>
      </c>
      <c r="B75" s="734" t="s">
        <v>5</v>
      </c>
      <c r="C75" s="734"/>
      <c r="D75" s="734"/>
      <c r="E75" s="734"/>
      <c r="F75" s="39" t="s">
        <v>6</v>
      </c>
      <c r="G75" s="39" t="s">
        <v>7</v>
      </c>
      <c r="H75" s="39" t="s">
        <v>9</v>
      </c>
      <c r="I75" s="39" t="s">
        <v>8</v>
      </c>
    </row>
    <row r="77" spans="1:9" ht="151.19999999999999" customHeight="1" x14ac:dyDescent="0.25">
      <c r="A77" s="40" t="s">
        <v>30</v>
      </c>
      <c r="B77" s="726" t="s">
        <v>330</v>
      </c>
      <c r="C77" s="726"/>
      <c r="D77" s="726"/>
      <c r="E77" s="726"/>
      <c r="F77" s="38"/>
      <c r="G77" s="41"/>
      <c r="H77" s="42"/>
      <c r="I77" s="42"/>
    </row>
    <row r="78" spans="1:9" ht="15.6" x14ac:dyDescent="0.25">
      <c r="B78" s="2" t="s">
        <v>185</v>
      </c>
      <c r="F78" s="38" t="s">
        <v>186</v>
      </c>
      <c r="G78" s="41">
        <f>(1.3*1.3*1.7+9*0.8*1.2)*0.8</f>
        <v>9.2104000000000017</v>
      </c>
      <c r="H78" s="42"/>
      <c r="I78" s="42">
        <f>G78*H78</f>
        <v>0</v>
      </c>
    </row>
    <row r="79" spans="1:9" ht="15.6" x14ac:dyDescent="0.25">
      <c r="B79" s="2" t="s">
        <v>272</v>
      </c>
      <c r="F79" s="38" t="s">
        <v>186</v>
      </c>
      <c r="G79" s="41">
        <f>(1.3*1.3*1.7+9*0.8*1.2)*0.2</f>
        <v>2.3026000000000004</v>
      </c>
      <c r="H79" s="42"/>
      <c r="I79" s="42">
        <f>G79*H79</f>
        <v>0</v>
      </c>
    </row>
    <row r="81" spans="1:9" ht="27" customHeight="1" x14ac:dyDescent="0.25">
      <c r="A81" s="40" t="s">
        <v>31</v>
      </c>
      <c r="B81" s="726" t="s">
        <v>187</v>
      </c>
      <c r="C81" s="726"/>
      <c r="D81" s="726"/>
      <c r="E81" s="726"/>
      <c r="F81" s="38" t="s">
        <v>188</v>
      </c>
      <c r="G81" s="41">
        <f>1.3*1.3</f>
        <v>1.6900000000000002</v>
      </c>
      <c r="H81" s="42"/>
      <c r="I81" s="42">
        <f>G81*H81</f>
        <v>0</v>
      </c>
    </row>
    <row r="82" spans="1:9" x14ac:dyDescent="0.25">
      <c r="A82" s="40"/>
      <c r="B82" s="34"/>
      <c r="C82" s="34"/>
      <c r="D82" s="34"/>
      <c r="E82" s="34"/>
      <c r="F82" s="38"/>
      <c r="G82" s="41"/>
      <c r="H82" s="42"/>
      <c r="I82" s="42"/>
    </row>
    <row r="83" spans="1:9" ht="41.25" customHeight="1" x14ac:dyDescent="0.25">
      <c r="A83" s="40" t="s">
        <v>32</v>
      </c>
      <c r="B83" s="726" t="s">
        <v>311</v>
      </c>
      <c r="C83" s="726" t="s">
        <v>189</v>
      </c>
      <c r="D83" s="726" t="s">
        <v>189</v>
      </c>
      <c r="E83" s="726" t="s">
        <v>189</v>
      </c>
      <c r="F83" s="38" t="s">
        <v>186</v>
      </c>
      <c r="G83" s="41">
        <f>1.3*1.3*0.2</f>
        <v>0.33800000000000008</v>
      </c>
      <c r="H83" s="42"/>
      <c r="I83" s="42">
        <f>G83*H83</f>
        <v>0</v>
      </c>
    </row>
    <row r="85" spans="1:9" ht="40.5" customHeight="1" x14ac:dyDescent="0.25">
      <c r="A85" s="40" t="s">
        <v>33</v>
      </c>
      <c r="B85" s="726" t="s">
        <v>190</v>
      </c>
      <c r="C85" s="726"/>
      <c r="D85" s="726"/>
      <c r="E85" s="726"/>
      <c r="F85" s="38" t="s">
        <v>186</v>
      </c>
      <c r="G85" s="41">
        <f>9*0.1*0.8</f>
        <v>0.72000000000000008</v>
      </c>
      <c r="H85" s="42"/>
      <c r="I85" s="42">
        <f>G85*H85</f>
        <v>0</v>
      </c>
    </row>
    <row r="86" spans="1:9" x14ac:dyDescent="0.25">
      <c r="A86" s="40"/>
      <c r="B86" s="34"/>
      <c r="C86" s="34"/>
      <c r="D86" s="34"/>
      <c r="E86" s="34"/>
      <c r="F86" s="38"/>
      <c r="G86" s="41"/>
      <c r="H86" s="42"/>
      <c r="I86" s="42"/>
    </row>
    <row r="87" spans="1:9" ht="67.2" customHeight="1" x14ac:dyDescent="0.25">
      <c r="A87" s="40" t="s">
        <v>68</v>
      </c>
      <c r="B87" s="726" t="s">
        <v>192</v>
      </c>
      <c r="C87" s="726"/>
      <c r="D87" s="726"/>
      <c r="E87" s="726"/>
      <c r="F87" s="38" t="s">
        <v>186</v>
      </c>
      <c r="G87" s="41">
        <f>9*0.3*0.8</f>
        <v>2.1599999999999997</v>
      </c>
      <c r="H87" s="42"/>
      <c r="I87" s="42">
        <f>G87*H87</f>
        <v>0</v>
      </c>
    </row>
    <row r="88" spans="1:9" ht="12.75" customHeight="1" x14ac:dyDescent="0.25">
      <c r="A88" s="40"/>
      <c r="B88" s="34"/>
      <c r="C88" s="34"/>
      <c r="D88" s="34"/>
      <c r="E88" s="34"/>
      <c r="F88" s="38"/>
      <c r="G88" s="41"/>
      <c r="H88" s="42"/>
      <c r="I88" s="42"/>
    </row>
    <row r="89" spans="1:9" ht="65.25" customHeight="1" x14ac:dyDescent="0.25">
      <c r="A89" s="40" t="s">
        <v>69</v>
      </c>
      <c r="B89" s="726" t="s">
        <v>233</v>
      </c>
      <c r="C89" s="726"/>
      <c r="D89" s="726"/>
      <c r="E89" s="726"/>
      <c r="F89" s="38" t="s">
        <v>186</v>
      </c>
      <c r="G89" s="41">
        <f>(G78+G79-G83-G85-G87)</f>
        <v>8.2949999999999999</v>
      </c>
      <c r="H89" s="42"/>
      <c r="I89" s="42">
        <f>G89*H89</f>
        <v>0</v>
      </c>
    </row>
    <row r="91" spans="1:9" ht="39" customHeight="1" x14ac:dyDescent="0.25">
      <c r="A91" s="40" t="s">
        <v>70</v>
      </c>
      <c r="B91" s="726" t="s">
        <v>197</v>
      </c>
      <c r="C91" s="726"/>
      <c r="D91" s="726"/>
      <c r="E91" s="726"/>
      <c r="F91" s="38" t="s">
        <v>186</v>
      </c>
      <c r="G91" s="41">
        <f>G78+G79-G89</f>
        <v>3.2180000000000017</v>
      </c>
      <c r="H91" s="42"/>
      <c r="I91" s="42">
        <f>G91*H91</f>
        <v>0</v>
      </c>
    </row>
    <row r="92" spans="1:9" ht="130.5" customHeight="1" x14ac:dyDescent="0.25">
      <c r="A92" s="43" t="s">
        <v>71</v>
      </c>
      <c r="B92" s="733" t="s">
        <v>331</v>
      </c>
      <c r="C92" s="733"/>
      <c r="D92" s="733"/>
      <c r="E92" s="733"/>
      <c r="F92" s="39" t="s">
        <v>10</v>
      </c>
      <c r="G92" s="44">
        <v>1</v>
      </c>
      <c r="H92" s="45"/>
      <c r="I92" s="45">
        <f>G92*H92</f>
        <v>0</v>
      </c>
    </row>
    <row r="94" spans="1:9" x14ac:dyDescent="0.25">
      <c r="E94" s="46"/>
      <c r="F94" s="47" t="s">
        <v>332</v>
      </c>
      <c r="H94" s="48" t="s">
        <v>15</v>
      </c>
      <c r="I94" s="49">
        <f>SUM(I78:I92)</f>
        <v>0</v>
      </c>
    </row>
    <row r="95" spans="1:9" x14ac:dyDescent="0.25">
      <c r="E95" s="46"/>
      <c r="F95" s="47"/>
      <c r="H95" s="48"/>
      <c r="I95" s="49"/>
    </row>
    <row r="96" spans="1:9" x14ac:dyDescent="0.25">
      <c r="E96" s="46"/>
      <c r="F96" s="47"/>
      <c r="H96" s="48"/>
      <c r="I96" s="49"/>
    </row>
    <row r="97" spans="1:9" x14ac:dyDescent="0.25">
      <c r="E97" s="46"/>
      <c r="F97" s="47"/>
      <c r="H97" s="232"/>
      <c r="I97" s="49"/>
    </row>
    <row r="98" spans="1:9" x14ac:dyDescent="0.25">
      <c r="E98" s="46"/>
      <c r="F98" s="47"/>
      <c r="H98" s="232"/>
      <c r="I98" s="49"/>
    </row>
    <row r="99" spans="1:9" x14ac:dyDescent="0.25">
      <c r="A99" s="36" t="s">
        <v>273</v>
      </c>
      <c r="B99" s="37"/>
      <c r="C99" s="37"/>
      <c r="D99" s="37"/>
      <c r="E99" s="37"/>
      <c r="F99" s="38"/>
      <c r="G99" s="38"/>
      <c r="H99" s="38"/>
      <c r="I99" s="38"/>
    </row>
    <row r="100" spans="1:9" x14ac:dyDescent="0.25">
      <c r="A100" s="36"/>
      <c r="B100" s="37"/>
      <c r="C100" s="37"/>
      <c r="D100" s="37"/>
      <c r="E100" s="37"/>
      <c r="F100" s="38"/>
      <c r="G100" s="38"/>
      <c r="H100" s="38"/>
      <c r="I100" s="38"/>
    </row>
    <row r="101" spans="1:9" x14ac:dyDescent="0.25">
      <c r="A101" s="39" t="s">
        <v>4</v>
      </c>
      <c r="B101" s="734" t="s">
        <v>5</v>
      </c>
      <c r="C101" s="734"/>
      <c r="D101" s="734"/>
      <c r="E101" s="734"/>
      <c r="F101" s="39" t="s">
        <v>6</v>
      </c>
      <c r="G101" s="39" t="s">
        <v>7</v>
      </c>
      <c r="H101" s="39" t="s">
        <v>9</v>
      </c>
      <c r="I101" s="39" t="s">
        <v>8</v>
      </c>
    </row>
    <row r="102" spans="1:9" x14ac:dyDescent="0.25">
      <c r="A102" s="38"/>
      <c r="B102" s="37"/>
      <c r="C102" s="37"/>
      <c r="D102" s="37"/>
      <c r="E102" s="37"/>
      <c r="F102" s="38"/>
      <c r="G102" s="54"/>
      <c r="H102" s="38"/>
      <c r="I102" s="38"/>
    </row>
    <row r="103" spans="1:9" ht="39.75" customHeight="1" x14ac:dyDescent="0.25">
      <c r="A103" s="40" t="s">
        <v>34</v>
      </c>
      <c r="B103" s="726" t="s">
        <v>274</v>
      </c>
      <c r="C103" s="726"/>
      <c r="D103" s="726"/>
      <c r="E103" s="726"/>
      <c r="F103" s="54"/>
      <c r="G103" s="55"/>
      <c r="H103" s="56"/>
      <c r="I103" s="56"/>
    </row>
    <row r="104" spans="1:9" x14ac:dyDescent="0.25">
      <c r="B104" s="50" t="s">
        <v>275</v>
      </c>
      <c r="D104" s="50"/>
      <c r="E104" s="51"/>
      <c r="F104" s="38" t="s">
        <v>86</v>
      </c>
      <c r="G104" s="41">
        <v>1</v>
      </c>
      <c r="H104" s="42"/>
      <c r="I104" s="42">
        <f>G104*H104</f>
        <v>0</v>
      </c>
    </row>
    <row r="105" spans="1:9" x14ac:dyDescent="0.25">
      <c r="B105" s="50" t="s">
        <v>312</v>
      </c>
      <c r="D105" s="50"/>
      <c r="E105" s="51"/>
      <c r="F105" s="38" t="s">
        <v>86</v>
      </c>
      <c r="G105" s="41">
        <v>1</v>
      </c>
      <c r="H105" s="42"/>
      <c r="I105" s="42">
        <f>G105*H105</f>
        <v>0</v>
      </c>
    </row>
    <row r="106" spans="1:9" x14ac:dyDescent="0.25">
      <c r="B106" s="50" t="s">
        <v>313</v>
      </c>
      <c r="D106" s="50"/>
      <c r="E106" s="51"/>
      <c r="F106" s="38" t="s">
        <v>86</v>
      </c>
      <c r="G106" s="41">
        <v>1</v>
      </c>
      <c r="H106" s="42"/>
      <c r="I106" s="42">
        <f>G106*H106</f>
        <v>0</v>
      </c>
    </row>
    <row r="107" spans="1:9" x14ac:dyDescent="0.25">
      <c r="B107" s="50" t="s">
        <v>314</v>
      </c>
      <c r="D107" s="50"/>
      <c r="E107" s="51"/>
      <c r="F107" s="38" t="s">
        <v>86</v>
      </c>
      <c r="G107" s="41">
        <v>2</v>
      </c>
      <c r="H107" s="42"/>
      <c r="I107" s="42">
        <f>G107*H107</f>
        <v>0</v>
      </c>
    </row>
    <row r="109" spans="1:9" ht="27" customHeight="1" x14ac:dyDescent="0.25">
      <c r="A109" s="40" t="s">
        <v>35</v>
      </c>
      <c r="B109" s="726" t="s">
        <v>276</v>
      </c>
      <c r="C109" s="726"/>
      <c r="D109" s="726"/>
      <c r="E109" s="726"/>
      <c r="F109" s="54"/>
      <c r="G109" s="55"/>
      <c r="H109" s="56"/>
      <c r="I109" s="56"/>
    </row>
    <row r="110" spans="1:9" x14ac:dyDescent="0.25">
      <c r="A110" s="4"/>
      <c r="B110" s="50" t="s">
        <v>277</v>
      </c>
      <c r="C110" s="4"/>
      <c r="D110" s="50"/>
      <c r="E110" s="51"/>
      <c r="F110" s="54" t="s">
        <v>86</v>
      </c>
      <c r="G110" s="55">
        <v>9</v>
      </c>
      <c r="H110" s="56"/>
      <c r="I110" s="42">
        <f>G110*H110</f>
        <v>0</v>
      </c>
    </row>
    <row r="111" spans="1:9" x14ac:dyDescent="0.25">
      <c r="A111" s="3"/>
      <c r="B111" s="65" t="s">
        <v>278</v>
      </c>
      <c r="C111" s="3"/>
      <c r="D111" s="65"/>
      <c r="E111" s="66"/>
      <c r="F111" s="39" t="s">
        <v>10</v>
      </c>
      <c r="G111" s="44">
        <v>1</v>
      </c>
      <c r="H111" s="45"/>
      <c r="I111" s="45">
        <f>G111*H111</f>
        <v>0</v>
      </c>
    </row>
    <row r="113" spans="1:10" x14ac:dyDescent="0.25">
      <c r="E113" s="46"/>
      <c r="F113" s="47" t="s">
        <v>273</v>
      </c>
      <c r="H113" s="48" t="s">
        <v>15</v>
      </c>
      <c r="I113" s="49">
        <f>SUM(I104:I111)</f>
        <v>0</v>
      </c>
    </row>
    <row r="116" spans="1:10" x14ac:dyDescent="0.25">
      <c r="A116" s="36" t="s">
        <v>279</v>
      </c>
      <c r="B116" s="37"/>
      <c r="C116" s="37"/>
      <c r="D116" s="37"/>
      <c r="E116" s="37"/>
      <c r="F116" s="38"/>
      <c r="G116" s="38"/>
      <c r="H116" s="38"/>
      <c r="I116" s="38"/>
    </row>
    <row r="117" spans="1:10" x14ac:dyDescent="0.25">
      <c r="A117" s="36"/>
      <c r="B117" s="37"/>
      <c r="C117" s="37"/>
      <c r="D117" s="37"/>
      <c r="E117" s="37"/>
      <c r="F117" s="38"/>
      <c r="G117" s="38"/>
      <c r="H117" s="38"/>
      <c r="I117" s="38"/>
    </row>
    <row r="118" spans="1:10" x14ac:dyDescent="0.25">
      <c r="A118" s="39" t="s">
        <v>4</v>
      </c>
      <c r="B118" s="734" t="s">
        <v>5</v>
      </c>
      <c r="C118" s="734"/>
      <c r="D118" s="734"/>
      <c r="E118" s="734"/>
      <c r="F118" s="39" t="s">
        <v>6</v>
      </c>
      <c r="G118" s="39" t="s">
        <v>7</v>
      </c>
      <c r="H118" s="39" t="s">
        <v>9</v>
      </c>
      <c r="I118" s="39" t="s">
        <v>8</v>
      </c>
    </row>
    <row r="119" spans="1:10" x14ac:dyDescent="0.25">
      <c r="A119" s="38"/>
      <c r="B119" s="37"/>
      <c r="C119" s="37"/>
      <c r="D119" s="37"/>
      <c r="E119" s="37"/>
      <c r="F119" s="38"/>
      <c r="G119" s="54"/>
      <c r="H119" s="38"/>
      <c r="I119" s="38"/>
    </row>
    <row r="120" spans="1:10" ht="58.2" customHeight="1" x14ac:dyDescent="0.25">
      <c r="A120" s="40" t="s">
        <v>36</v>
      </c>
      <c r="B120" s="726" t="s">
        <v>321</v>
      </c>
      <c r="C120" s="726"/>
      <c r="D120" s="726"/>
      <c r="E120" s="726"/>
      <c r="F120" s="54" t="s">
        <v>186</v>
      </c>
      <c r="G120" s="55">
        <f>(48.33+71.84)*10/1000</f>
        <v>1.2017</v>
      </c>
      <c r="H120" s="56"/>
      <c r="I120" s="42">
        <f>G120*H120</f>
        <v>0</v>
      </c>
    </row>
    <row r="121" spans="1:10" x14ac:dyDescent="0.25">
      <c r="B121" s="50"/>
      <c r="D121" s="50"/>
      <c r="E121" s="51"/>
      <c r="F121" s="38"/>
      <c r="G121" s="41"/>
      <c r="H121" s="42"/>
      <c r="I121" s="42"/>
    </row>
    <row r="122" spans="1:10" ht="27.75" customHeight="1" x14ac:dyDescent="0.25">
      <c r="A122" s="40" t="s">
        <v>37</v>
      </c>
      <c r="B122" s="726" t="s">
        <v>322</v>
      </c>
      <c r="C122" s="726"/>
      <c r="D122" s="726"/>
      <c r="E122" s="726"/>
      <c r="F122" s="54" t="s">
        <v>39</v>
      </c>
      <c r="G122" s="55">
        <f>(48.33+71.84)*10/1000</f>
        <v>1.2017</v>
      </c>
      <c r="H122" s="56"/>
      <c r="I122" s="42">
        <f>G122*H122</f>
        <v>0</v>
      </c>
    </row>
    <row r="123" spans="1:10" x14ac:dyDescent="0.25">
      <c r="B123" s="50"/>
      <c r="D123" s="50"/>
      <c r="E123" s="51"/>
      <c r="F123" s="38"/>
      <c r="G123" s="41"/>
      <c r="H123" s="42"/>
      <c r="I123" s="42"/>
    </row>
    <row r="124" spans="1:10" ht="42.6" customHeight="1" x14ac:dyDescent="0.25">
      <c r="A124" s="40" t="s">
        <v>38</v>
      </c>
      <c r="B124" s="726" t="s">
        <v>280</v>
      </c>
      <c r="C124" s="726"/>
      <c r="D124" s="726"/>
      <c r="E124" s="726"/>
      <c r="F124" s="54" t="s">
        <v>188</v>
      </c>
      <c r="G124" s="55">
        <f>(48.33+71.84)</f>
        <v>120.17</v>
      </c>
      <c r="H124" s="56"/>
      <c r="I124" s="42">
        <f>G124*H124</f>
        <v>0</v>
      </c>
    </row>
    <row r="126" spans="1:10" ht="111" customHeight="1" x14ac:dyDescent="0.25">
      <c r="A126" s="40" t="s">
        <v>74</v>
      </c>
      <c r="B126" s="740" t="s">
        <v>1799</v>
      </c>
      <c r="C126" s="740"/>
      <c r="D126" s="740"/>
      <c r="E126" s="740"/>
      <c r="F126" s="54" t="s">
        <v>39</v>
      </c>
      <c r="G126" s="55">
        <f>(48.33+71.84)*0.02</f>
        <v>2.4034</v>
      </c>
      <c r="H126" s="56"/>
      <c r="I126" s="42">
        <f>G126*H126</f>
        <v>0</v>
      </c>
      <c r="J126" s="693"/>
    </row>
    <row r="128" spans="1:10" ht="66" customHeight="1" x14ac:dyDescent="0.25">
      <c r="A128" s="43" t="s">
        <v>75</v>
      </c>
      <c r="B128" s="733" t="s">
        <v>281</v>
      </c>
      <c r="C128" s="733"/>
      <c r="D128" s="733"/>
      <c r="E128" s="733"/>
      <c r="F128" s="39" t="s">
        <v>86</v>
      </c>
      <c r="G128" s="44">
        <v>5</v>
      </c>
      <c r="H128" s="45"/>
      <c r="I128" s="45">
        <f>G128*H128</f>
        <v>0</v>
      </c>
    </row>
    <row r="130" spans="1:9" x14ac:dyDescent="0.25">
      <c r="E130" s="46"/>
      <c r="F130" s="47" t="s">
        <v>279</v>
      </c>
      <c r="H130" s="48" t="s">
        <v>15</v>
      </c>
      <c r="I130" s="49">
        <f>SUM(I120:I128)</f>
        <v>0</v>
      </c>
    </row>
    <row r="132" spans="1:9" x14ac:dyDescent="0.25">
      <c r="A132" s="36" t="s">
        <v>325</v>
      </c>
      <c r="B132" s="37"/>
      <c r="C132" s="37"/>
      <c r="D132" s="37"/>
      <c r="E132" s="37"/>
      <c r="F132" s="38"/>
      <c r="G132" s="38"/>
      <c r="H132" s="38"/>
      <c r="I132" s="38"/>
    </row>
    <row r="133" spans="1:9" x14ac:dyDescent="0.25">
      <c r="A133" s="36"/>
      <c r="B133" s="37"/>
      <c r="C133" s="37"/>
      <c r="D133" s="37"/>
      <c r="E133" s="37"/>
      <c r="F133" s="38"/>
      <c r="G133" s="38"/>
      <c r="H133" s="38"/>
      <c r="I133" s="38"/>
    </row>
    <row r="134" spans="1:9" x14ac:dyDescent="0.25">
      <c r="A134" s="39" t="s">
        <v>4</v>
      </c>
      <c r="B134" s="734" t="s">
        <v>5</v>
      </c>
      <c r="C134" s="734"/>
      <c r="D134" s="734"/>
      <c r="E134" s="734"/>
      <c r="F134" s="39" t="s">
        <v>6</v>
      </c>
      <c r="G134" s="39" t="s">
        <v>7</v>
      </c>
      <c r="H134" s="39" t="s">
        <v>9</v>
      </c>
      <c r="I134" s="39" t="s">
        <v>8</v>
      </c>
    </row>
    <row r="135" spans="1:9" x14ac:dyDescent="0.25">
      <c r="A135" s="38"/>
      <c r="B135" s="37"/>
      <c r="C135" s="37"/>
      <c r="D135" s="37"/>
      <c r="E135" s="37"/>
      <c r="F135" s="38"/>
      <c r="G135" s="54"/>
      <c r="H135" s="38"/>
      <c r="I135" s="38"/>
    </row>
    <row r="136" spans="1:9" ht="51.75" customHeight="1" x14ac:dyDescent="0.25">
      <c r="A136" s="40" t="s">
        <v>79</v>
      </c>
      <c r="B136" s="726" t="s">
        <v>315</v>
      </c>
      <c r="C136" s="726" t="s">
        <v>257</v>
      </c>
      <c r="D136" s="726" t="s">
        <v>257</v>
      </c>
      <c r="E136" s="726" t="s">
        <v>257</v>
      </c>
      <c r="F136" s="38"/>
      <c r="G136" s="41"/>
      <c r="H136" s="42"/>
      <c r="I136" s="42"/>
    </row>
    <row r="137" spans="1:9" ht="15.6" x14ac:dyDescent="0.25">
      <c r="A137" s="4"/>
      <c r="B137" s="57" t="s">
        <v>282</v>
      </c>
      <c r="C137" s="4"/>
      <c r="D137" s="4"/>
      <c r="E137" s="4"/>
      <c r="F137" s="54" t="s">
        <v>186</v>
      </c>
      <c r="G137" s="55">
        <f>0.5*0.5*0.8*4</f>
        <v>0.8</v>
      </c>
      <c r="H137" s="56"/>
      <c r="I137" s="56">
        <f>G137*H137</f>
        <v>0</v>
      </c>
    </row>
    <row r="138" spans="1:9" x14ac:dyDescent="0.25">
      <c r="A138" s="4"/>
      <c r="B138" s="57"/>
      <c r="C138" s="4"/>
      <c r="D138" s="4"/>
      <c r="E138" s="4"/>
      <c r="F138" s="54"/>
      <c r="G138" s="55"/>
      <c r="H138" s="56"/>
      <c r="I138" s="56"/>
    </row>
    <row r="139" spans="1:9" ht="132.75" customHeight="1" x14ac:dyDescent="0.25">
      <c r="A139" s="43" t="s">
        <v>80</v>
      </c>
      <c r="B139" s="733" t="s">
        <v>439</v>
      </c>
      <c r="C139" s="733"/>
      <c r="D139" s="733"/>
      <c r="E139" s="733"/>
      <c r="F139" s="39" t="s">
        <v>19</v>
      </c>
      <c r="G139" s="44">
        <v>307</v>
      </c>
      <c r="H139" s="45"/>
      <c r="I139" s="45">
        <f>G139*H139</f>
        <v>0</v>
      </c>
    </row>
    <row r="141" spans="1:9" x14ac:dyDescent="0.25">
      <c r="E141" s="46"/>
      <c r="F141" s="47" t="s">
        <v>325</v>
      </c>
      <c r="H141" s="48" t="s">
        <v>15</v>
      </c>
      <c r="I141" s="49">
        <f>SUM(I136:I139)</f>
        <v>0</v>
      </c>
    </row>
    <row r="142" spans="1:9" x14ac:dyDescent="0.25">
      <c r="E142" s="46"/>
      <c r="F142" s="47"/>
      <c r="H142" s="701"/>
      <c r="I142" s="49"/>
    </row>
    <row r="143" spans="1:9" s="120" customFormat="1" x14ac:dyDescent="0.25">
      <c r="A143" s="690"/>
      <c r="B143" s="692" t="s">
        <v>1578</v>
      </c>
      <c r="C143" s="16"/>
      <c r="D143" s="16"/>
      <c r="E143" s="16"/>
      <c r="F143" s="29"/>
    </row>
    <row r="144" spans="1:9" s="120" customFormat="1" x14ac:dyDescent="0.25">
      <c r="A144" s="691"/>
      <c r="B144" s="732" t="s">
        <v>1788</v>
      </c>
      <c r="C144" s="732"/>
      <c r="D144" s="732"/>
      <c r="E144" s="732"/>
      <c r="F144" s="732"/>
    </row>
    <row r="145" spans="1:13" s="120" customFormat="1" ht="25.2" customHeight="1" x14ac:dyDescent="0.25">
      <c r="A145" s="19"/>
      <c r="B145" s="732"/>
      <c r="C145" s="732"/>
      <c r="D145" s="732"/>
      <c r="E145" s="732"/>
      <c r="F145" s="732"/>
    </row>
    <row r="146" spans="1:13" x14ac:dyDescent="0.25">
      <c r="E146" s="46"/>
      <c r="F146" s="47"/>
      <c r="H146" s="113"/>
      <c r="I146" s="49"/>
    </row>
    <row r="147" spans="1:13" ht="42" customHeight="1" x14ac:dyDescent="0.25">
      <c r="A147" s="19"/>
      <c r="B147" s="731" t="s">
        <v>1776</v>
      </c>
      <c r="C147" s="731"/>
      <c r="D147" s="731"/>
      <c r="E147" s="731"/>
      <c r="F147" s="731"/>
      <c r="G147" s="731"/>
      <c r="H147" s="731"/>
      <c r="I147" s="731"/>
      <c r="J147" s="731"/>
      <c r="K147" s="731"/>
      <c r="L147" s="731"/>
      <c r="M147" s="731"/>
    </row>
    <row r="149" spans="1:13" x14ac:dyDescent="0.25">
      <c r="A149" s="739" t="s">
        <v>40</v>
      </c>
      <c r="B149" s="739"/>
      <c r="C149" s="739"/>
      <c r="D149" s="739"/>
      <c r="E149" s="739"/>
      <c r="F149" s="739"/>
      <c r="G149" s="739"/>
      <c r="H149" s="739"/>
      <c r="I149" s="739"/>
    </row>
    <row r="151" spans="1:13" x14ac:dyDescent="0.25">
      <c r="A151" s="61" t="s">
        <v>260</v>
      </c>
      <c r="B151" s="52"/>
      <c r="C151" s="52"/>
      <c r="I151" s="60">
        <f>I13</f>
        <v>0</v>
      </c>
    </row>
    <row r="152" spans="1:13" x14ac:dyDescent="0.25">
      <c r="A152" s="61" t="s">
        <v>264</v>
      </c>
      <c r="B152" s="52"/>
      <c r="C152" s="52"/>
      <c r="I152" s="60">
        <f>I26</f>
        <v>0</v>
      </c>
    </row>
    <row r="153" spans="1:13" x14ac:dyDescent="0.25">
      <c r="A153" s="61" t="s">
        <v>269</v>
      </c>
      <c r="I153" s="60">
        <f>I54</f>
        <v>0</v>
      </c>
    </row>
    <row r="154" spans="1:13" x14ac:dyDescent="0.25">
      <c r="A154" s="61" t="s">
        <v>323</v>
      </c>
      <c r="I154" s="60">
        <f>I68</f>
        <v>0</v>
      </c>
    </row>
    <row r="155" spans="1:13" x14ac:dyDescent="0.25">
      <c r="A155" s="61" t="s">
        <v>271</v>
      </c>
      <c r="I155" s="60">
        <f>I94</f>
        <v>0</v>
      </c>
    </row>
    <row r="156" spans="1:13" x14ac:dyDescent="0.25">
      <c r="A156" s="61" t="s">
        <v>273</v>
      </c>
      <c r="I156" s="60">
        <f>I113</f>
        <v>0</v>
      </c>
    </row>
    <row r="157" spans="1:13" x14ac:dyDescent="0.25">
      <c r="A157" s="67" t="s">
        <v>279</v>
      </c>
      <c r="B157" s="4"/>
      <c r="C157" s="4"/>
      <c r="D157" s="4"/>
      <c r="E157" s="4"/>
      <c r="F157" s="4"/>
      <c r="G157" s="4"/>
      <c r="H157" s="4"/>
      <c r="I157" s="68">
        <f>I130</f>
        <v>0</v>
      </c>
    </row>
    <row r="158" spans="1:13" x14ac:dyDescent="0.25">
      <c r="A158" s="62" t="s">
        <v>325</v>
      </c>
      <c r="B158" s="3"/>
      <c r="C158" s="3"/>
      <c r="D158" s="3"/>
      <c r="E158" s="3"/>
      <c r="F158" s="3"/>
      <c r="G158" s="3"/>
      <c r="H158" s="3"/>
      <c r="I158" s="63">
        <f>I141</f>
        <v>0</v>
      </c>
    </row>
    <row r="159" spans="1:13" x14ac:dyDescent="0.25">
      <c r="I159" s="60"/>
    </row>
    <row r="160" spans="1:13" x14ac:dyDescent="0.25">
      <c r="H160" t="s">
        <v>15</v>
      </c>
      <c r="I160" s="60">
        <f>SUM(I151:I158)</f>
        <v>0</v>
      </c>
    </row>
  </sheetData>
  <mergeCells count="46">
    <mergeCell ref="B136:E136"/>
    <mergeCell ref="A149:I149"/>
    <mergeCell ref="B122:E122"/>
    <mergeCell ref="B124:E124"/>
    <mergeCell ref="B126:E126"/>
    <mergeCell ref="B128:E128"/>
    <mergeCell ref="B134:E134"/>
    <mergeCell ref="B139:E139"/>
    <mergeCell ref="B147:M147"/>
    <mergeCell ref="B144:F145"/>
    <mergeCell ref="B120:E120"/>
    <mergeCell ref="B81:E81"/>
    <mergeCell ref="B83:E83"/>
    <mergeCell ref="B85:E85"/>
    <mergeCell ref="B87:E87"/>
    <mergeCell ref="B89:E89"/>
    <mergeCell ref="B91:E91"/>
    <mergeCell ref="B92:E92"/>
    <mergeCell ref="B101:E101"/>
    <mergeCell ref="B103:E103"/>
    <mergeCell ref="B109:E109"/>
    <mergeCell ref="B118:E118"/>
    <mergeCell ref="B77:E77"/>
    <mergeCell ref="B46:E46"/>
    <mergeCell ref="B48:E48"/>
    <mergeCell ref="B50:E50"/>
    <mergeCell ref="B52:E52"/>
    <mergeCell ref="B59:E59"/>
    <mergeCell ref="B61:E61"/>
    <mergeCell ref="B63:E63"/>
    <mergeCell ref="B65:E65"/>
    <mergeCell ref="B75:E75"/>
    <mergeCell ref="B38:E38"/>
    <mergeCell ref="B42:E42"/>
    <mergeCell ref="B44:E44"/>
    <mergeCell ref="B20:E20"/>
    <mergeCell ref="B22:E22"/>
    <mergeCell ref="B24:E24"/>
    <mergeCell ref="B32:E32"/>
    <mergeCell ref="B34:E34"/>
    <mergeCell ref="B18:E18"/>
    <mergeCell ref="A1:I1"/>
    <mergeCell ref="B5:E5"/>
    <mergeCell ref="B7:E7"/>
    <mergeCell ref="B9:E9"/>
    <mergeCell ref="B11:E11"/>
  </mergeCells>
  <pageMargins left="0.51181102362204722" right="0.51181102362204722" top="0.55118110236220474" bottom="0.55118110236220474"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2"/>
  <sheetViews>
    <sheetView workbookViewId="0">
      <selection activeCell="D22" sqref="D22"/>
    </sheetView>
  </sheetViews>
  <sheetFormatPr defaultRowHeight="13.8" x14ac:dyDescent="0.3"/>
  <cols>
    <col min="1" max="1" width="9.6640625" style="220" customWidth="1"/>
    <col min="2" max="2" width="43.44140625" style="203" customWidth="1"/>
    <col min="3" max="3" width="12.5546875" style="221" customWidth="1"/>
    <col min="4" max="4" width="14.21875" style="186" bestFit="1" customWidth="1"/>
    <col min="5" max="5" width="4.6640625" style="187" customWidth="1"/>
  </cols>
  <sheetData>
    <row r="1" spans="1:5" x14ac:dyDescent="0.3">
      <c r="A1" s="808"/>
      <c r="B1" s="808"/>
      <c r="C1" s="808"/>
      <c r="D1" s="808"/>
      <c r="E1" s="808"/>
    </row>
    <row r="3" spans="1:5" x14ac:dyDescent="0.3">
      <c r="A3" s="183"/>
      <c r="B3" s="183"/>
      <c r="C3" s="183"/>
      <c r="D3" s="183"/>
      <c r="E3"/>
    </row>
    <row r="5" spans="1:5" x14ac:dyDescent="0.3">
      <c r="A5" s="183"/>
      <c r="B5" s="183"/>
      <c r="C5" s="183"/>
      <c r="D5" s="183"/>
      <c r="E5"/>
    </row>
    <row r="6" spans="1:5" ht="25.2" x14ac:dyDescent="0.45">
      <c r="A6" s="787" t="s">
        <v>40</v>
      </c>
      <c r="B6" s="787"/>
      <c r="C6" s="787"/>
      <c r="D6" s="787"/>
      <c r="E6" s="787"/>
    </row>
    <row r="7" spans="1:5" ht="15.6" x14ac:dyDescent="0.3">
      <c r="A7" s="184"/>
      <c r="B7" s="185"/>
      <c r="C7" s="186"/>
    </row>
    <row r="8" spans="1:5" ht="15.6" x14ac:dyDescent="0.3">
      <c r="A8" s="188" t="s">
        <v>614</v>
      </c>
      <c r="B8" s="189" t="s">
        <v>615</v>
      </c>
      <c r="C8" s="186"/>
      <c r="D8" s="59">
        <f>'1. Građ.-obrt. radovi'!I298</f>
        <v>0</v>
      </c>
    </row>
    <row r="9" spans="1:5" ht="15.6" x14ac:dyDescent="0.3">
      <c r="A9" s="188" t="s">
        <v>616</v>
      </c>
      <c r="B9" s="809" t="s">
        <v>617</v>
      </c>
      <c r="C9" s="780"/>
      <c r="D9" s="59">
        <f>'2. Vodovod i kanalizacija'!I187</f>
        <v>0</v>
      </c>
    </row>
    <row r="10" spans="1:5" ht="15.6" x14ac:dyDescent="0.3">
      <c r="A10" s="188" t="s">
        <v>618</v>
      </c>
      <c r="B10" s="191" t="s">
        <v>627</v>
      </c>
      <c r="C10" s="192"/>
      <c r="D10" s="59">
        <f>'3. Lift'!E64</f>
        <v>0</v>
      </c>
    </row>
    <row r="11" spans="1:5" ht="15.6" x14ac:dyDescent="0.3">
      <c r="A11" s="188" t="s">
        <v>620</v>
      </c>
      <c r="B11" s="191" t="s">
        <v>623</v>
      </c>
      <c r="C11" s="192"/>
      <c r="D11" s="59">
        <f>'4. Elektro instalaterski radovi'!F342</f>
        <v>0</v>
      </c>
    </row>
    <row r="12" spans="1:5" ht="15.6" x14ac:dyDescent="0.3">
      <c r="A12" s="188" t="s">
        <v>622</v>
      </c>
      <c r="B12" s="191" t="s">
        <v>625</v>
      </c>
      <c r="C12" s="192"/>
      <c r="D12" s="59">
        <f>'5. IT oprema i sustavi'!F150</f>
        <v>0</v>
      </c>
    </row>
    <row r="13" spans="1:5" ht="15.6" x14ac:dyDescent="0.3">
      <c r="A13" s="188" t="s">
        <v>624</v>
      </c>
      <c r="B13" s="191" t="s">
        <v>621</v>
      </c>
      <c r="C13" s="192"/>
      <c r="D13" s="59">
        <f>'6. Strojarski radovi'!D1101:F1101</f>
        <v>0</v>
      </c>
    </row>
    <row r="14" spans="1:5" ht="15.6" x14ac:dyDescent="0.3">
      <c r="A14" s="188" t="s">
        <v>626</v>
      </c>
      <c r="B14" s="189" t="s">
        <v>619</v>
      </c>
      <c r="C14" s="186"/>
      <c r="D14" s="59">
        <f>'7. Niskogradnja'!I160</f>
        <v>0</v>
      </c>
    </row>
    <row r="15" spans="1:5" ht="15.6" x14ac:dyDescent="0.3">
      <c r="A15" s="204"/>
      <c r="B15" s="205"/>
      <c r="C15" s="206"/>
      <c r="D15" s="807"/>
      <c r="E15" s="807"/>
    </row>
    <row r="16" spans="1:5" ht="15.6" x14ac:dyDescent="0.25">
      <c r="A16" s="204"/>
      <c r="B16" s="205"/>
      <c r="C16" t="s">
        <v>15</v>
      </c>
      <c r="D16" s="60">
        <f>SUM(D8:E14)</f>
        <v>0</v>
      </c>
      <c r="E16" s="207"/>
    </row>
    <row r="17" spans="1:5" ht="15.6" x14ac:dyDescent="0.25">
      <c r="A17" s="204"/>
      <c r="B17" s="205"/>
      <c r="C17" t="s">
        <v>258</v>
      </c>
      <c r="D17" s="60">
        <f>0.25*D16</f>
        <v>0</v>
      </c>
      <c r="E17" s="207"/>
    </row>
    <row r="18" spans="1:5" ht="15.6" x14ac:dyDescent="0.25">
      <c r="A18" s="204"/>
      <c r="B18" s="205"/>
      <c r="C18" s="47" t="s">
        <v>259</v>
      </c>
      <c r="D18" s="64">
        <f>D16+D17</f>
        <v>0</v>
      </c>
      <c r="E18" s="207"/>
    </row>
    <row r="19" spans="1:5" ht="15.6" x14ac:dyDescent="0.3">
      <c r="A19" s="204"/>
      <c r="B19" s="205"/>
      <c r="C19" s="206"/>
      <c r="D19" s="207"/>
      <c r="E19" s="207"/>
    </row>
    <row r="20" spans="1:5" ht="15.6" x14ac:dyDescent="0.3">
      <c r="A20" s="204"/>
      <c r="B20" s="205"/>
      <c r="C20" s="206"/>
      <c r="D20" s="207"/>
      <c r="E20" s="207"/>
    </row>
    <row r="22" spans="1:5" ht="15.6" x14ac:dyDescent="0.25">
      <c r="A22" s="208"/>
      <c r="B22" s="208"/>
      <c r="C22" s="208"/>
      <c r="D22" s="208"/>
      <c r="E22" s="208"/>
    </row>
    <row r="23" spans="1:5" s="206" customFormat="1" ht="15.6" x14ac:dyDescent="0.3">
      <c r="A23" s="773"/>
      <c r="B23" s="773"/>
      <c r="C23" s="773"/>
      <c r="D23" s="773"/>
      <c r="E23" s="773"/>
    </row>
    <row r="25" spans="1:5" s="206" customFormat="1" ht="15.6" x14ac:dyDescent="0.3">
      <c r="A25" s="209"/>
      <c r="B25" s="209"/>
      <c r="C25" s="209"/>
      <c r="D25" s="209"/>
      <c r="E25" s="209"/>
    </row>
    <row r="26" spans="1:5" s="206" customFormat="1" ht="15.6" x14ac:dyDescent="0.3">
      <c r="A26" s="210"/>
      <c r="B26" s="210"/>
      <c r="C26" s="210"/>
      <c r="D26" s="210"/>
      <c r="E26" s="210"/>
    </row>
    <row r="27" spans="1:5" s="211" customFormat="1" ht="15.6" x14ac:dyDescent="0.3">
      <c r="A27" s="773"/>
      <c r="B27" s="773"/>
      <c r="C27" s="773"/>
      <c r="D27" s="773"/>
      <c r="E27" s="773"/>
    </row>
    <row r="28" spans="1:5" s="206" customFormat="1" ht="15.6" x14ac:dyDescent="0.3">
      <c r="A28" s="202"/>
      <c r="B28" s="212"/>
      <c r="D28" s="192"/>
      <c r="E28" s="213"/>
    </row>
    <row r="29" spans="1:5" s="206" customFormat="1" ht="15.6" x14ac:dyDescent="0.3">
      <c r="A29" s="202"/>
      <c r="B29" s="212"/>
      <c r="D29" s="807"/>
      <c r="E29" s="807"/>
    </row>
    <row r="31" spans="1:5" ht="15.6" x14ac:dyDescent="0.3">
      <c r="A31" s="214"/>
      <c r="B31" s="206"/>
      <c r="C31" s="206"/>
      <c r="D31" s="192"/>
      <c r="E31" s="213"/>
    </row>
    <row r="32" spans="1:5" x14ac:dyDescent="0.25">
      <c r="A32" s="215"/>
      <c r="B32" s="216"/>
      <c r="C32" s="217"/>
      <c r="D32" s="218"/>
      <c r="E32" s="219"/>
    </row>
  </sheetData>
  <mergeCells count="7">
    <mergeCell ref="A23:E23"/>
    <mergeCell ref="A27:E27"/>
    <mergeCell ref="D29:E29"/>
    <mergeCell ref="A1:E1"/>
    <mergeCell ref="A6:E6"/>
    <mergeCell ref="B9:C9"/>
    <mergeCell ref="D15:E15"/>
  </mergeCells>
  <pageMargins left="0.51181102362204722" right="0.5118110236220472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Naslovna</vt:lpstr>
      <vt:lpstr>1. Građ.-obrt. radovi</vt:lpstr>
      <vt:lpstr>2. Vodovod i kanalizacija</vt:lpstr>
      <vt:lpstr>3. Lift</vt:lpstr>
      <vt:lpstr>4. Elektro instalaterski radovi</vt:lpstr>
      <vt:lpstr>5. IT oprema i sustavi</vt:lpstr>
      <vt:lpstr>6. Strojarski radovi</vt:lpstr>
      <vt:lpstr>7. Niskogradnja</vt:lpstr>
      <vt:lpstr>Rekapitulacija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2018-08-03T11:08:18Z</dcterms:modified>
</cp:coreProperties>
</file>