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codeName="ThisWorkbook" defaultThemeVersion="124226"/>
  <mc:AlternateContent xmlns:mc="http://schemas.openxmlformats.org/markup-compatibility/2006">
    <mc:Choice Requires="x15">
      <x15ac:absPath xmlns:x15ac="http://schemas.microsoft.com/office/spreadsheetml/2010/11/ac" url="D:\Libraries\OneDrive - ITRS d.o.o\TURIZAM-2018\01 Dobiveni\Šted-invest (Ad Turres Crikvenica)\Nabave\Izvodjenje\"/>
    </mc:Choice>
  </mc:AlternateContent>
  <xr:revisionPtr revIDLastSave="12" documentId="13_ncr:4000b_{8846F9D2-C87E-435F-AFA4-FA811D660471}" xr6:coauthVersionLast="43" xr6:coauthVersionMax="43" xr10:uidLastSave="{C1255B75-2E85-4DBF-AF66-650B79290B70}"/>
  <bookViews>
    <workbookView xWindow="19080" yWindow="-120" windowWidth="29040" windowHeight="15840" tabRatio="662" xr2:uid="{00000000-000D-0000-FFFF-FFFF00000000}"/>
  </bookViews>
  <sheets>
    <sheet name="Naslovnica" sheetId="14" r:id="rId1"/>
    <sheet name="OU" sheetId="45" r:id="rId2"/>
    <sheet name="GR_HL" sheetId="43" r:id="rId3"/>
    <sheet name="SOLAR" sheetId="46" r:id="rId4"/>
    <sheet name="REKAPITULACIJA" sheetId="2" r:id="rId5"/>
    <sheet name="DV-IDENTITY-0" sheetId="33" state="veryHidden" r:id="rId6"/>
  </sheets>
  <definedNames>
    <definedName name="dsg">#REF!</definedName>
    <definedName name="_xlnm.Print_Area" localSheetId="2">GR_HL!$A$1:$G$56</definedName>
    <definedName name="_xlnm.Print_Area" localSheetId="0">Naslovnica!$A$1:$J$49</definedName>
    <definedName name="_xlnm.Print_Area">#REF!</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8" i="2" l="1"/>
  <c r="C7" i="2"/>
  <c r="G87" i="46" l="1"/>
  <c r="G79" i="46"/>
  <c r="G41" i="46"/>
  <c r="G23" i="46"/>
  <c r="G12" i="46"/>
  <c r="G5" i="46"/>
  <c r="G32" i="43"/>
  <c r="G26" i="43"/>
  <c r="G16" i="43"/>
  <c r="G5" i="43"/>
  <c r="G66" i="46" l="1"/>
  <c r="G65" i="46"/>
  <c r="G71" i="46"/>
  <c r="G40" i="46"/>
  <c r="G69" i="46"/>
  <c r="G70" i="46"/>
  <c r="G50" i="43"/>
  <c r="G51" i="43"/>
  <c r="G39" i="46"/>
  <c r="G43" i="46"/>
  <c r="G7" i="46"/>
  <c r="G17" i="46"/>
  <c r="G18" i="46"/>
  <c r="G19" i="46"/>
  <c r="G30" i="46"/>
  <c r="G32" i="46"/>
  <c r="G83" i="46"/>
  <c r="G55" i="46"/>
  <c r="G56" i="46"/>
  <c r="G57" i="46"/>
  <c r="G58" i="46"/>
  <c r="G59" i="46"/>
  <c r="G61" i="46"/>
  <c r="G62" i="46"/>
  <c r="G63" i="46"/>
  <c r="G64" i="46"/>
  <c r="G67" i="46"/>
  <c r="G68" i="46"/>
  <c r="G72" i="46"/>
  <c r="G73" i="46"/>
  <c r="G74" i="46"/>
  <c r="G75" i="46"/>
  <c r="G76" i="46"/>
  <c r="G77" i="46"/>
  <c r="G78" i="46"/>
  <c r="G82" i="46"/>
  <c r="G46" i="46"/>
  <c r="G47" i="46"/>
  <c r="G48" i="46"/>
  <c r="G49" i="46"/>
  <c r="G50" i="46"/>
  <c r="G51" i="46"/>
  <c r="G52" i="46"/>
  <c r="G44" i="43"/>
  <c r="G38" i="43"/>
  <c r="G39" i="43"/>
  <c r="B4" i="2"/>
  <c r="G54" i="46"/>
  <c r="G35" i="46"/>
  <c r="G45" i="46"/>
  <c r="G44" i="46"/>
  <c r="B3" i="2"/>
  <c r="F44" i="45"/>
  <c r="F43" i="45"/>
  <c r="F42" i="45"/>
  <c r="F41" i="45"/>
  <c r="F40" i="45"/>
  <c r="F39" i="45"/>
  <c r="F38" i="45"/>
  <c r="F37" i="45"/>
  <c r="F36" i="45"/>
  <c r="F35" i="45"/>
  <c r="F34" i="45"/>
  <c r="F29" i="45"/>
  <c r="F28" i="45"/>
  <c r="F27" i="45"/>
  <c r="F26" i="45"/>
  <c r="F25" i="45"/>
  <c r="F17" i="45"/>
  <c r="F16" i="45"/>
  <c r="F14" i="45"/>
  <c r="F13" i="45"/>
  <c r="F12" i="45"/>
  <c r="F11" i="45"/>
  <c r="F10" i="45"/>
  <c r="F9" i="45"/>
  <c r="F8" i="45"/>
  <c r="F7" i="45"/>
  <c r="F6" i="45"/>
  <c r="H5" i="45"/>
  <c r="I5" i="45" s="1"/>
  <c r="A5" i="45" s="1"/>
  <c r="H6" i="45" s="1"/>
  <c r="I6" i="45" s="1"/>
  <c r="A6" i="45" s="1"/>
  <c r="H7" i="45" s="1"/>
  <c r="I7" i="45" s="1"/>
  <c r="A7" i="45" s="1"/>
  <c r="H8" i="45" s="1"/>
  <c r="I8" i="45" s="1"/>
  <c r="A8" i="45" s="1"/>
  <c r="H9" i="45" s="1"/>
  <c r="I9" i="45" s="1"/>
  <c r="A9" i="45" s="1"/>
  <c r="H10" i="45" s="1"/>
  <c r="I10" i="45" s="1"/>
  <c r="A10" i="45" s="1"/>
  <c r="H11" i="45" s="1"/>
  <c r="I11" i="45" s="1"/>
  <c r="A11" i="45" s="1"/>
  <c r="H12" i="45" s="1"/>
  <c r="I12" i="45" s="1"/>
  <c r="A12" i="45" s="1"/>
  <c r="H13" i="45" s="1"/>
  <c r="I13" i="45" s="1"/>
  <c r="A13" i="45" s="1"/>
  <c r="H14" i="45" s="1"/>
  <c r="I14" i="45" s="1"/>
  <c r="A14" i="45" s="1"/>
  <c r="H15" i="45" s="1"/>
  <c r="F5" i="45"/>
  <c r="G48" i="43"/>
  <c r="G47" i="43"/>
  <c r="CT16" i="33"/>
  <c r="G54" i="43"/>
  <c r="G53" i="43"/>
  <c r="G52" i="43"/>
  <c r="G46" i="43"/>
  <c r="G45" i="43"/>
  <c r="G43" i="43"/>
  <c r="G41" i="43"/>
  <c r="G40" i="43"/>
  <c r="A40" i="33"/>
  <c r="B40" i="33"/>
  <c r="C40" i="33"/>
  <c r="D40" i="33"/>
  <c r="E40" i="33"/>
  <c r="F40" i="33"/>
  <c r="G40" i="33"/>
  <c r="H40" i="33"/>
  <c r="I40" i="33"/>
  <c r="J40" i="33"/>
  <c r="L40" i="33"/>
  <c r="M40" i="33"/>
  <c r="N40" i="33"/>
  <c r="O40" i="33"/>
  <c r="P40" i="33"/>
  <c r="Q40" i="33"/>
  <c r="T40" i="33"/>
  <c r="U40" i="33"/>
  <c r="V40" i="33"/>
  <c r="W40" i="33"/>
  <c r="X40" i="33"/>
  <c r="Y40" i="33"/>
  <c r="Z40" i="33"/>
  <c r="AA40" i="33"/>
  <c r="AB40" i="33"/>
  <c r="AC40" i="33"/>
  <c r="AD40" i="33"/>
  <c r="AE40" i="33"/>
  <c r="AF40" i="33"/>
  <c r="AG40" i="33"/>
  <c r="AH40" i="33"/>
  <c r="AI40" i="33"/>
  <c r="AJ40" i="33"/>
  <c r="AK40" i="33"/>
  <c r="AL40" i="33"/>
  <c r="AM40" i="33"/>
  <c r="AN40" i="33"/>
  <c r="AO40" i="33"/>
  <c r="AP40" i="33"/>
  <c r="AQ40" i="33"/>
  <c r="AR40" i="33"/>
  <c r="AS40" i="33"/>
  <c r="AT40" i="33"/>
  <c r="AU40" i="33"/>
  <c r="AV40" i="33"/>
  <c r="AW40" i="33"/>
  <c r="AX40" i="33"/>
  <c r="AY40" i="33"/>
  <c r="AZ40" i="33"/>
  <c r="BA40" i="33"/>
  <c r="BB40" i="33"/>
  <c r="BC40" i="33"/>
  <c r="BD40" i="33"/>
  <c r="BE40" i="33"/>
  <c r="BF40" i="33"/>
  <c r="BG40" i="33"/>
  <c r="BH40" i="33"/>
  <c r="BI40" i="33"/>
  <c r="BJ40" i="33"/>
  <c r="BK40" i="33"/>
  <c r="BL40" i="33"/>
  <c r="BM40" i="33"/>
  <c r="BN40" i="33"/>
  <c r="BO40" i="33"/>
  <c r="BP40" i="33"/>
  <c r="BQ40" i="33"/>
  <c r="BR40" i="33"/>
  <c r="BS40" i="33"/>
  <c r="BT40" i="33"/>
  <c r="BY40" i="33"/>
  <c r="A39" i="33"/>
  <c r="B39" i="33"/>
  <c r="C39" i="33"/>
  <c r="D39" i="33"/>
  <c r="E39" i="33"/>
  <c r="F39" i="33"/>
  <c r="G39" i="33"/>
  <c r="H39" i="33"/>
  <c r="I39" i="33"/>
  <c r="J39" i="33"/>
  <c r="K39" i="33"/>
  <c r="L39" i="33"/>
  <c r="M39" i="33"/>
  <c r="N39" i="33"/>
  <c r="O39" i="33"/>
  <c r="P39" i="33"/>
  <c r="Q39" i="33"/>
  <c r="R39" i="33"/>
  <c r="S39" i="33"/>
  <c r="T39" i="33"/>
  <c r="U39" i="33"/>
  <c r="V39" i="33"/>
  <c r="W39" i="33"/>
  <c r="X39" i="33"/>
  <c r="Y39" i="33"/>
  <c r="Z39" i="33"/>
  <c r="AA39" i="33"/>
  <c r="AB39" i="33"/>
  <c r="AC39" i="33"/>
  <c r="AD39" i="33"/>
  <c r="AE39" i="33"/>
  <c r="AF39" i="33"/>
  <c r="AG39" i="33"/>
  <c r="AH39" i="33"/>
  <c r="AI39" i="33"/>
  <c r="AJ39" i="33"/>
  <c r="AK39" i="33"/>
  <c r="AL39" i="33"/>
  <c r="AM39" i="33"/>
  <c r="AN39" i="33"/>
  <c r="AO39" i="33"/>
  <c r="AP39" i="33"/>
  <c r="AQ39" i="33"/>
  <c r="AR39" i="33"/>
  <c r="AS39" i="33"/>
  <c r="AT39" i="33"/>
  <c r="AU39" i="33"/>
  <c r="AV39" i="33"/>
  <c r="AW39" i="33"/>
  <c r="AX39" i="33"/>
  <c r="AY39" i="33"/>
  <c r="AZ39" i="33"/>
  <c r="BA39" i="33"/>
  <c r="BB39" i="33"/>
  <c r="BC39" i="33"/>
  <c r="BD39" i="33"/>
  <c r="BE39" i="33"/>
  <c r="BF39" i="33"/>
  <c r="BG39" i="33"/>
  <c r="BH39" i="33"/>
  <c r="BI39" i="33"/>
  <c r="BJ39" i="33"/>
  <c r="BK39" i="33"/>
  <c r="BL39" i="33"/>
  <c r="BM39" i="33"/>
  <c r="BN39" i="33"/>
  <c r="BO39" i="33"/>
  <c r="BP39" i="33"/>
  <c r="BQ39" i="33"/>
  <c r="BR39" i="33"/>
  <c r="BS39" i="33"/>
  <c r="BT39" i="33"/>
  <c r="BU39" i="33"/>
  <c r="BV39" i="33"/>
  <c r="BW39" i="33"/>
  <c r="BX39" i="33"/>
  <c r="BY39" i="33"/>
  <c r="BZ39" i="33"/>
  <c r="CA39" i="33"/>
  <c r="CB39" i="33"/>
  <c r="CC39" i="33"/>
  <c r="CD39" i="33"/>
  <c r="CE39" i="33"/>
  <c r="CF39" i="33"/>
  <c r="CG39" i="33"/>
  <c r="CH39" i="33"/>
  <c r="CI39" i="33"/>
  <c r="CJ39" i="33"/>
  <c r="CK39" i="33"/>
  <c r="CL39" i="33"/>
  <c r="CM39" i="33"/>
  <c r="CN39" i="33"/>
  <c r="CO39" i="33"/>
  <c r="CP39" i="33"/>
  <c r="CQ39" i="33"/>
  <c r="CR39" i="33"/>
  <c r="CS39" i="33"/>
  <c r="CT39" i="33"/>
  <c r="CU39" i="33"/>
  <c r="CV39" i="33"/>
  <c r="CW39" i="33"/>
  <c r="CX39" i="33"/>
  <c r="CY39" i="33"/>
  <c r="CZ39" i="33"/>
  <c r="DA39" i="33"/>
  <c r="DB39" i="33"/>
  <c r="DC39" i="33"/>
  <c r="DD39" i="33"/>
  <c r="DE39" i="33"/>
  <c r="DF39" i="33"/>
  <c r="DG39" i="33"/>
  <c r="DH39" i="33"/>
  <c r="DI39" i="33"/>
  <c r="DJ39" i="33"/>
  <c r="DK39" i="33"/>
  <c r="DL39" i="33"/>
  <c r="DM39" i="33"/>
  <c r="DN39" i="33"/>
  <c r="DO39" i="33"/>
  <c r="DP39" i="33"/>
  <c r="DQ39" i="33"/>
  <c r="DR39" i="33"/>
  <c r="DS39" i="33"/>
  <c r="DT39" i="33"/>
  <c r="DU39" i="33"/>
  <c r="DV39" i="33"/>
  <c r="DW39" i="33"/>
  <c r="DX39" i="33"/>
  <c r="DY39" i="33"/>
  <c r="DZ39" i="33"/>
  <c r="EA39" i="33"/>
  <c r="EB39" i="33"/>
  <c r="EC39" i="33"/>
  <c r="ED39" i="33"/>
  <c r="EE39" i="33"/>
  <c r="EF39" i="33"/>
  <c r="EG39" i="33"/>
  <c r="EH39" i="33"/>
  <c r="EI39" i="33"/>
  <c r="EJ39" i="33"/>
  <c r="EK39" i="33"/>
  <c r="EL39" i="33"/>
  <c r="EM39" i="33"/>
  <c r="EN39" i="33"/>
  <c r="EO39" i="33"/>
  <c r="EP39" i="33"/>
  <c r="EQ39" i="33"/>
  <c r="ER39" i="33"/>
  <c r="ES39" i="33"/>
  <c r="ET39" i="33"/>
  <c r="EU39" i="33"/>
  <c r="EV39" i="33"/>
  <c r="EW39" i="33"/>
  <c r="EX39" i="33"/>
  <c r="EY39" i="33"/>
  <c r="EZ39" i="33"/>
  <c r="FA39" i="33"/>
  <c r="FB39" i="33"/>
  <c r="FC39" i="33"/>
  <c r="FD39" i="33"/>
  <c r="FE39" i="33"/>
  <c r="FF39" i="33"/>
  <c r="FG39" i="33"/>
  <c r="FH39" i="33"/>
  <c r="FI39" i="33"/>
  <c r="FJ39" i="33"/>
  <c r="FK39" i="33"/>
  <c r="FL39" i="33"/>
  <c r="FM39" i="33"/>
  <c r="FN39" i="33"/>
  <c r="FO39" i="33"/>
  <c r="FP39" i="33"/>
  <c r="FQ39" i="33"/>
  <c r="FR39" i="33"/>
  <c r="FS39" i="33"/>
  <c r="FT39" i="33"/>
  <c r="FU39" i="33"/>
  <c r="FV39" i="33"/>
  <c r="FW39" i="33"/>
  <c r="FX39" i="33"/>
  <c r="FY39" i="33"/>
  <c r="FZ39" i="33"/>
  <c r="GA39" i="33"/>
  <c r="GB39" i="33"/>
  <c r="GC39" i="33"/>
  <c r="GD39" i="33"/>
  <c r="GE39" i="33"/>
  <c r="GF39" i="33"/>
  <c r="GG39" i="33"/>
  <c r="GH39" i="33"/>
  <c r="GI39" i="33"/>
  <c r="GJ39" i="33"/>
  <c r="GK39" i="33"/>
  <c r="GL39" i="33"/>
  <c r="GM39" i="33"/>
  <c r="GN39" i="33"/>
  <c r="GO39" i="33"/>
  <c r="GP39" i="33"/>
  <c r="GQ39" i="33"/>
  <c r="GR39" i="33"/>
  <c r="GS39" i="33"/>
  <c r="GT39" i="33"/>
  <c r="GU39" i="33"/>
  <c r="GV39" i="33"/>
  <c r="GW39" i="33"/>
  <c r="GX39" i="33"/>
  <c r="GY39" i="33"/>
  <c r="GZ39" i="33"/>
  <c r="HA39" i="33"/>
  <c r="HB39" i="33"/>
  <c r="HC39" i="33"/>
  <c r="HD39" i="33"/>
  <c r="HE39" i="33"/>
  <c r="HF39" i="33"/>
  <c r="HG39" i="33"/>
  <c r="HH39" i="33"/>
  <c r="HI39" i="33"/>
  <c r="HJ39" i="33"/>
  <c r="HK39" i="33"/>
  <c r="HL39" i="33"/>
  <c r="HM39" i="33"/>
  <c r="HN39" i="33"/>
  <c r="HO39" i="33"/>
  <c r="HP39" i="33"/>
  <c r="HQ39" i="33"/>
  <c r="HR39" i="33"/>
  <c r="HS39" i="33"/>
  <c r="HT39" i="33"/>
  <c r="HU39" i="33"/>
  <c r="HV39" i="33"/>
  <c r="HW39" i="33"/>
  <c r="HX39" i="33"/>
  <c r="HY39" i="33"/>
  <c r="HZ39" i="33"/>
  <c r="IA39" i="33"/>
  <c r="IB39" i="33"/>
  <c r="IC39" i="33"/>
  <c r="ID39" i="33"/>
  <c r="IE39" i="33"/>
  <c r="IF39" i="33"/>
  <c r="IG39" i="33"/>
  <c r="IH39" i="33"/>
  <c r="II39" i="33"/>
  <c r="IJ39" i="33"/>
  <c r="IK39" i="33"/>
  <c r="IL39" i="33"/>
  <c r="IM39" i="33"/>
  <c r="IN39" i="33"/>
  <c r="IO39" i="33"/>
  <c r="IP39" i="33"/>
  <c r="IQ39" i="33"/>
  <c r="IR39" i="33"/>
  <c r="IS39" i="33"/>
  <c r="IT39" i="33"/>
  <c r="IU39" i="33"/>
  <c r="IV39" i="33"/>
  <c r="A38" i="33"/>
  <c r="B38" i="33"/>
  <c r="C38" i="33"/>
  <c r="D38" i="33"/>
  <c r="E38" i="33"/>
  <c r="F38" i="33"/>
  <c r="G38" i="33"/>
  <c r="H38" i="33"/>
  <c r="I38" i="33"/>
  <c r="J38" i="33"/>
  <c r="K38" i="33"/>
  <c r="L38" i="33"/>
  <c r="M38" i="33"/>
  <c r="N38" i="33"/>
  <c r="O38" i="33"/>
  <c r="P38" i="33"/>
  <c r="Q38" i="33"/>
  <c r="R38" i="33"/>
  <c r="S38" i="33"/>
  <c r="T38" i="33"/>
  <c r="U38" i="33"/>
  <c r="V38" i="33"/>
  <c r="W38" i="33"/>
  <c r="X38" i="33"/>
  <c r="Y38" i="33"/>
  <c r="Z38" i="33"/>
  <c r="AA38" i="33"/>
  <c r="AB38" i="33"/>
  <c r="AC38" i="33"/>
  <c r="AD38" i="33"/>
  <c r="AE38" i="33"/>
  <c r="AF38" i="33"/>
  <c r="AG38" i="33"/>
  <c r="AH38" i="33"/>
  <c r="AI38" i="33"/>
  <c r="AJ38" i="33"/>
  <c r="AK38" i="33"/>
  <c r="AL38" i="33"/>
  <c r="AM38" i="33"/>
  <c r="AN38" i="33"/>
  <c r="AO38" i="33"/>
  <c r="AP38" i="33"/>
  <c r="AQ38" i="33"/>
  <c r="AR38" i="33"/>
  <c r="AS38" i="33"/>
  <c r="AT38" i="33"/>
  <c r="AU38" i="33"/>
  <c r="AV38" i="33"/>
  <c r="AW38" i="33"/>
  <c r="AX38" i="33"/>
  <c r="AY38" i="33"/>
  <c r="AZ38" i="33"/>
  <c r="BA38" i="33"/>
  <c r="BB38" i="33"/>
  <c r="BC38" i="33"/>
  <c r="BD38" i="33"/>
  <c r="BE38" i="33"/>
  <c r="BF38" i="33"/>
  <c r="BG38" i="33"/>
  <c r="BH38" i="33"/>
  <c r="BI38" i="33"/>
  <c r="BJ38" i="33"/>
  <c r="BK38" i="33"/>
  <c r="BL38" i="33"/>
  <c r="BM38" i="33"/>
  <c r="BN38" i="33"/>
  <c r="BO38" i="33"/>
  <c r="BP38" i="33"/>
  <c r="BQ38" i="33"/>
  <c r="BR38" i="33"/>
  <c r="BS38" i="33"/>
  <c r="BT38" i="33"/>
  <c r="BU38" i="33"/>
  <c r="BV38" i="33"/>
  <c r="BW38" i="33"/>
  <c r="BX38" i="33"/>
  <c r="BY38" i="33"/>
  <c r="BZ38" i="33"/>
  <c r="CA38" i="33"/>
  <c r="CB38" i="33"/>
  <c r="CC38" i="33"/>
  <c r="CD38" i="33"/>
  <c r="CE38" i="33"/>
  <c r="CF38" i="33"/>
  <c r="CG38" i="33"/>
  <c r="CH38" i="33"/>
  <c r="CI38" i="33"/>
  <c r="CJ38" i="33"/>
  <c r="CK38" i="33"/>
  <c r="CL38" i="33"/>
  <c r="CM38" i="33"/>
  <c r="CN38" i="33"/>
  <c r="CO38" i="33"/>
  <c r="CP38" i="33"/>
  <c r="CQ38" i="33"/>
  <c r="CR38" i="33"/>
  <c r="CS38" i="33"/>
  <c r="CT38" i="33"/>
  <c r="CU38" i="33"/>
  <c r="CV38" i="33"/>
  <c r="CW38" i="33"/>
  <c r="CX38" i="33"/>
  <c r="CY38" i="33"/>
  <c r="CZ38" i="33"/>
  <c r="DA38" i="33"/>
  <c r="DB38" i="33"/>
  <c r="DC38" i="33"/>
  <c r="DD38" i="33"/>
  <c r="DE38" i="33"/>
  <c r="DF38" i="33"/>
  <c r="DG38" i="33"/>
  <c r="DH38" i="33"/>
  <c r="DI38" i="33"/>
  <c r="DJ38" i="33"/>
  <c r="DK38" i="33"/>
  <c r="DL38" i="33"/>
  <c r="DM38" i="33"/>
  <c r="DN38" i="33"/>
  <c r="DO38" i="33"/>
  <c r="DP38" i="33"/>
  <c r="DQ38" i="33"/>
  <c r="DR38" i="33"/>
  <c r="DS38" i="33"/>
  <c r="DT38" i="33"/>
  <c r="DU38" i="33"/>
  <c r="DV38" i="33"/>
  <c r="DW38" i="33"/>
  <c r="DX38" i="33"/>
  <c r="DY38" i="33"/>
  <c r="DZ38" i="33"/>
  <c r="EA38" i="33"/>
  <c r="EB38" i="33"/>
  <c r="EC38" i="33"/>
  <c r="ED38" i="33"/>
  <c r="EE38" i="33"/>
  <c r="EF38" i="33"/>
  <c r="EG38" i="33"/>
  <c r="EH38" i="33"/>
  <c r="EI38" i="33"/>
  <c r="EJ38" i="33"/>
  <c r="EK38" i="33"/>
  <c r="EL38" i="33"/>
  <c r="EM38" i="33"/>
  <c r="EN38" i="33"/>
  <c r="EO38" i="33"/>
  <c r="EP38" i="33"/>
  <c r="EQ38" i="33"/>
  <c r="ER38" i="33"/>
  <c r="ES38" i="33"/>
  <c r="ET38" i="33"/>
  <c r="EU38" i="33"/>
  <c r="EV38" i="33"/>
  <c r="EW38" i="33"/>
  <c r="EX38" i="33"/>
  <c r="EY38" i="33"/>
  <c r="EZ38" i="33"/>
  <c r="FA38" i="33"/>
  <c r="FB38" i="33"/>
  <c r="FC38" i="33"/>
  <c r="FD38" i="33"/>
  <c r="FE38" i="33"/>
  <c r="FF38" i="33"/>
  <c r="FG38" i="33"/>
  <c r="FH38" i="33"/>
  <c r="FI38" i="33"/>
  <c r="FJ38" i="33"/>
  <c r="FK38" i="33"/>
  <c r="FL38" i="33"/>
  <c r="FM38" i="33"/>
  <c r="FN38" i="33"/>
  <c r="FO38" i="33"/>
  <c r="FP38" i="33"/>
  <c r="FR38" i="33"/>
  <c r="FS38" i="33"/>
  <c r="FT38" i="33"/>
  <c r="FU38" i="33"/>
  <c r="FV38" i="33"/>
  <c r="FW38" i="33"/>
  <c r="FZ38" i="33"/>
  <c r="GA38" i="33"/>
  <c r="GB38" i="33"/>
  <c r="GC38" i="33"/>
  <c r="GD38" i="33"/>
  <c r="GE38" i="33"/>
  <c r="GF38" i="33"/>
  <c r="GG38" i="33"/>
  <c r="GH38" i="33"/>
  <c r="GI38" i="33"/>
  <c r="GJ38" i="33"/>
  <c r="GK38" i="33"/>
  <c r="GL38" i="33"/>
  <c r="GM38" i="33"/>
  <c r="GN38" i="33"/>
  <c r="GO38" i="33"/>
  <c r="GP38" i="33"/>
  <c r="GQ38" i="33"/>
  <c r="GR38" i="33"/>
  <c r="GS38" i="33"/>
  <c r="GT38" i="33"/>
  <c r="GU38" i="33"/>
  <c r="GV38" i="33"/>
  <c r="GW38" i="33"/>
  <c r="GX38" i="33"/>
  <c r="GY38" i="33"/>
  <c r="GZ38" i="33"/>
  <c r="HA38" i="33"/>
  <c r="HB38" i="33"/>
  <c r="HC38" i="33"/>
  <c r="HD38" i="33"/>
  <c r="HE38" i="33"/>
  <c r="HF38" i="33"/>
  <c r="HG38" i="33"/>
  <c r="HH38" i="33"/>
  <c r="HI38" i="33"/>
  <c r="HJ38" i="33"/>
  <c r="HK38" i="33"/>
  <c r="HL38" i="33"/>
  <c r="HM38" i="33"/>
  <c r="HN38" i="33"/>
  <c r="HO38" i="33"/>
  <c r="HP38" i="33"/>
  <c r="HQ38" i="33"/>
  <c r="HR38" i="33"/>
  <c r="HS38" i="33"/>
  <c r="HT38" i="33"/>
  <c r="HU38" i="33"/>
  <c r="HV38" i="33"/>
  <c r="HW38" i="33"/>
  <c r="HX38" i="33"/>
  <c r="HY38" i="33"/>
  <c r="HZ38" i="33"/>
  <c r="IA38" i="33"/>
  <c r="IB38" i="33"/>
  <c r="IC38" i="33"/>
  <c r="ID38" i="33"/>
  <c r="IE38" i="33"/>
  <c r="IF38" i="33"/>
  <c r="IG38" i="33"/>
  <c r="IH38" i="33"/>
  <c r="II38" i="33"/>
  <c r="IJ38" i="33"/>
  <c r="IK38" i="33"/>
  <c r="IL38" i="33"/>
  <c r="IM38" i="33"/>
  <c r="IN38" i="33"/>
  <c r="IO38" i="33"/>
  <c r="IP38" i="33"/>
  <c r="IQ38" i="33"/>
  <c r="IR38" i="33"/>
  <c r="IS38" i="33"/>
  <c r="IT38" i="33"/>
  <c r="IU38" i="33"/>
  <c r="IV38" i="33"/>
  <c r="A37" i="33"/>
  <c r="B37" i="33"/>
  <c r="C37" i="33"/>
  <c r="D37" i="33"/>
  <c r="E37" i="33"/>
  <c r="F37" i="33"/>
  <c r="G37" i="33"/>
  <c r="H37" i="33"/>
  <c r="I37" i="33"/>
  <c r="J37" i="33"/>
  <c r="K37" i="33"/>
  <c r="L37" i="33"/>
  <c r="M37" i="33"/>
  <c r="N37" i="33"/>
  <c r="O37" i="33"/>
  <c r="P37" i="33"/>
  <c r="Q37" i="33"/>
  <c r="R37" i="33"/>
  <c r="S37" i="33"/>
  <c r="T37" i="33"/>
  <c r="U37" i="33"/>
  <c r="V37" i="33"/>
  <c r="W37" i="33"/>
  <c r="X37" i="33"/>
  <c r="Y37" i="33"/>
  <c r="Z37" i="33"/>
  <c r="AA37" i="33"/>
  <c r="AB37" i="33"/>
  <c r="AC37" i="33"/>
  <c r="AD37" i="33"/>
  <c r="AE37" i="33"/>
  <c r="AF37" i="33"/>
  <c r="AG37" i="33"/>
  <c r="AH37" i="33"/>
  <c r="AI37" i="33"/>
  <c r="AJ37" i="33"/>
  <c r="AK37" i="33"/>
  <c r="AL37" i="33"/>
  <c r="AM37" i="33"/>
  <c r="AN37" i="33"/>
  <c r="AO37" i="33"/>
  <c r="AP37" i="33"/>
  <c r="AQ37" i="33"/>
  <c r="AR37" i="33"/>
  <c r="AS37" i="33"/>
  <c r="AT37" i="33"/>
  <c r="AU37" i="33"/>
  <c r="AV37" i="33"/>
  <c r="AW37" i="33"/>
  <c r="AX37" i="33"/>
  <c r="AY37" i="33"/>
  <c r="AZ37" i="33"/>
  <c r="BA37" i="33"/>
  <c r="BB37" i="33"/>
  <c r="BC37" i="33"/>
  <c r="BD37" i="33"/>
  <c r="BE37" i="33"/>
  <c r="BF37" i="33"/>
  <c r="BG37" i="33"/>
  <c r="BH37" i="33"/>
  <c r="BI37" i="33"/>
  <c r="BJ37" i="33"/>
  <c r="BK37" i="33"/>
  <c r="BL37" i="33"/>
  <c r="BM37" i="33"/>
  <c r="BN37" i="33"/>
  <c r="BO37" i="33"/>
  <c r="BP37" i="33"/>
  <c r="BQ37" i="33"/>
  <c r="BR37" i="33"/>
  <c r="BS37" i="33"/>
  <c r="BT37" i="33"/>
  <c r="BU37" i="33"/>
  <c r="BV37" i="33"/>
  <c r="BW37" i="33"/>
  <c r="BX37" i="33"/>
  <c r="BY37" i="33"/>
  <c r="BZ37" i="33"/>
  <c r="CA37" i="33"/>
  <c r="CB37" i="33"/>
  <c r="CC37" i="33"/>
  <c r="CD37" i="33"/>
  <c r="CE37" i="33"/>
  <c r="CF37" i="33"/>
  <c r="CG37" i="33"/>
  <c r="CH37" i="33"/>
  <c r="CI37" i="33"/>
  <c r="CJ37" i="33"/>
  <c r="CK37" i="33"/>
  <c r="CL37" i="33"/>
  <c r="CM37" i="33"/>
  <c r="CN37" i="33"/>
  <c r="CO37" i="33"/>
  <c r="CP37" i="33"/>
  <c r="CQ37" i="33"/>
  <c r="CR37" i="33"/>
  <c r="CS37" i="33"/>
  <c r="CT37" i="33"/>
  <c r="CU37" i="33"/>
  <c r="CV37" i="33"/>
  <c r="CW37" i="33"/>
  <c r="CX37" i="33"/>
  <c r="CY37" i="33"/>
  <c r="CZ37" i="33"/>
  <c r="DA37" i="33"/>
  <c r="DB37" i="33"/>
  <c r="DC37" i="33"/>
  <c r="DD37" i="33"/>
  <c r="DE37" i="33"/>
  <c r="DF37" i="33"/>
  <c r="DG37" i="33"/>
  <c r="DH37" i="33"/>
  <c r="DI37" i="33"/>
  <c r="DJ37" i="33"/>
  <c r="DK37" i="33"/>
  <c r="DL37" i="33"/>
  <c r="DM37" i="33"/>
  <c r="DN37" i="33"/>
  <c r="DO37" i="33"/>
  <c r="DP37" i="33"/>
  <c r="DQ37" i="33"/>
  <c r="DR37" i="33"/>
  <c r="DS37" i="33"/>
  <c r="DT37" i="33"/>
  <c r="DU37" i="33"/>
  <c r="DV37" i="33"/>
  <c r="DW37" i="33"/>
  <c r="DX37" i="33"/>
  <c r="DY37" i="33"/>
  <c r="DZ37" i="33"/>
  <c r="EA37" i="33"/>
  <c r="EB37" i="33"/>
  <c r="EC37" i="33"/>
  <c r="ED37" i="33"/>
  <c r="EE37" i="33"/>
  <c r="EF37" i="33"/>
  <c r="EG37" i="33"/>
  <c r="EH37" i="33"/>
  <c r="EI37" i="33"/>
  <c r="EJ37" i="33"/>
  <c r="EK37" i="33"/>
  <c r="EL37" i="33"/>
  <c r="EM37" i="33"/>
  <c r="EN37" i="33"/>
  <c r="EO37" i="33"/>
  <c r="EP37" i="33"/>
  <c r="EQ37" i="33"/>
  <c r="ER37" i="33"/>
  <c r="ES37" i="33"/>
  <c r="ET37" i="33"/>
  <c r="EU37" i="33"/>
  <c r="EV37" i="33"/>
  <c r="EW37" i="33"/>
  <c r="EX37" i="33"/>
  <c r="EY37" i="33"/>
  <c r="EZ37" i="33"/>
  <c r="FA37" i="33"/>
  <c r="FB37" i="33"/>
  <c r="FC37" i="33"/>
  <c r="FD37" i="33"/>
  <c r="FE37" i="33"/>
  <c r="FF37" i="33"/>
  <c r="FG37" i="33"/>
  <c r="FH37" i="33"/>
  <c r="FI37" i="33"/>
  <c r="FJ37" i="33"/>
  <c r="FK37" i="33"/>
  <c r="FL37" i="33"/>
  <c r="FM37" i="33"/>
  <c r="FN37" i="33"/>
  <c r="FO37" i="33"/>
  <c r="FP37" i="33"/>
  <c r="FQ37" i="33"/>
  <c r="FR37" i="33"/>
  <c r="FS37" i="33"/>
  <c r="FT37" i="33"/>
  <c r="FU37" i="33"/>
  <c r="FV37" i="33"/>
  <c r="FW37" i="33"/>
  <c r="FX37" i="33"/>
  <c r="FY37" i="33"/>
  <c r="FZ37" i="33"/>
  <c r="GA37" i="33"/>
  <c r="GB37" i="33"/>
  <c r="GC37" i="33"/>
  <c r="GD37" i="33"/>
  <c r="GE37" i="33"/>
  <c r="GF37" i="33"/>
  <c r="GG37" i="33"/>
  <c r="GH37" i="33"/>
  <c r="GI37" i="33"/>
  <c r="GJ37" i="33"/>
  <c r="GK37" i="33"/>
  <c r="GL37" i="33"/>
  <c r="GM37" i="33"/>
  <c r="GN37" i="33"/>
  <c r="GO37" i="33"/>
  <c r="GP37" i="33"/>
  <c r="GQ37" i="33"/>
  <c r="GR37" i="33"/>
  <c r="GS37" i="33"/>
  <c r="GT37" i="33"/>
  <c r="GU37" i="33"/>
  <c r="GV37" i="33"/>
  <c r="GW37" i="33"/>
  <c r="GX37" i="33"/>
  <c r="GY37" i="33"/>
  <c r="GZ37" i="33"/>
  <c r="HA37" i="33"/>
  <c r="HB37" i="33"/>
  <c r="HC37" i="33"/>
  <c r="HD37" i="33"/>
  <c r="HE37" i="33"/>
  <c r="HF37" i="33"/>
  <c r="HG37" i="33"/>
  <c r="HH37" i="33"/>
  <c r="HI37" i="33"/>
  <c r="HJ37" i="33"/>
  <c r="HK37" i="33"/>
  <c r="HL37" i="33"/>
  <c r="HM37" i="33"/>
  <c r="HN37" i="33"/>
  <c r="HO37" i="33"/>
  <c r="HP37" i="33"/>
  <c r="HQ37" i="33"/>
  <c r="HR37" i="33"/>
  <c r="HS37" i="33"/>
  <c r="HT37" i="33"/>
  <c r="HU37" i="33"/>
  <c r="HV37" i="33"/>
  <c r="HW37" i="33"/>
  <c r="HX37" i="33"/>
  <c r="HY37" i="33"/>
  <c r="HZ37" i="33"/>
  <c r="IA37" i="33"/>
  <c r="IB37" i="33"/>
  <c r="IC37" i="33"/>
  <c r="ID37" i="33"/>
  <c r="IE37" i="33"/>
  <c r="IF37" i="33"/>
  <c r="IG37" i="33"/>
  <c r="IH37" i="33"/>
  <c r="II37" i="33"/>
  <c r="IJ37" i="33"/>
  <c r="IK37" i="33"/>
  <c r="IL37" i="33"/>
  <c r="IM37" i="33"/>
  <c r="IN37" i="33"/>
  <c r="IO37" i="33"/>
  <c r="IP37" i="33"/>
  <c r="IQ37" i="33"/>
  <c r="IR37" i="33"/>
  <c r="IS37" i="33"/>
  <c r="IT37" i="33"/>
  <c r="IU37" i="33"/>
  <c r="IV37" i="33"/>
  <c r="A36" i="33"/>
  <c r="B36" i="33"/>
  <c r="C36" i="33"/>
  <c r="D36" i="33"/>
  <c r="E36" i="33"/>
  <c r="F36" i="33"/>
  <c r="G36" i="33"/>
  <c r="H36" i="33"/>
  <c r="I36" i="33"/>
  <c r="J36" i="33"/>
  <c r="K36" i="33"/>
  <c r="L36" i="33"/>
  <c r="M36" i="33"/>
  <c r="N36" i="33"/>
  <c r="O36" i="33"/>
  <c r="P36" i="33"/>
  <c r="Q36" i="33"/>
  <c r="R36" i="33"/>
  <c r="S36" i="33"/>
  <c r="T36" i="33"/>
  <c r="U36" i="33"/>
  <c r="V36" i="33"/>
  <c r="W36" i="33"/>
  <c r="X36" i="33"/>
  <c r="Y36" i="33"/>
  <c r="Z36" i="33"/>
  <c r="AA36" i="33"/>
  <c r="AB36" i="33"/>
  <c r="AC36" i="33"/>
  <c r="AD36" i="33"/>
  <c r="AE36" i="33"/>
  <c r="AF36" i="33"/>
  <c r="AG36" i="33"/>
  <c r="AH36" i="33"/>
  <c r="AI36" i="33"/>
  <c r="AJ36" i="33"/>
  <c r="AK36" i="33"/>
  <c r="AL36" i="33"/>
  <c r="AM36" i="33"/>
  <c r="AN36" i="33"/>
  <c r="AO36" i="33"/>
  <c r="AP36" i="33"/>
  <c r="AQ36" i="33"/>
  <c r="AR36" i="33"/>
  <c r="AS36" i="33"/>
  <c r="AT36" i="33"/>
  <c r="AU36" i="33"/>
  <c r="AV36" i="33"/>
  <c r="AW36" i="33"/>
  <c r="AX36" i="33"/>
  <c r="AY36" i="33"/>
  <c r="AZ36" i="33"/>
  <c r="BA36" i="33"/>
  <c r="BB36" i="33"/>
  <c r="BC36" i="33"/>
  <c r="BD36" i="33"/>
  <c r="BE36" i="33"/>
  <c r="BF36" i="33"/>
  <c r="BG36" i="33"/>
  <c r="BH36" i="33"/>
  <c r="BI36" i="33"/>
  <c r="BJ36" i="33"/>
  <c r="BK36" i="33"/>
  <c r="BL36" i="33"/>
  <c r="BM36" i="33"/>
  <c r="BN36" i="33"/>
  <c r="BO36" i="33"/>
  <c r="BP36" i="33"/>
  <c r="BQ36" i="33"/>
  <c r="BR36" i="33"/>
  <c r="BS36" i="33"/>
  <c r="BT36" i="33"/>
  <c r="BU36" i="33"/>
  <c r="BV36" i="33"/>
  <c r="BW36" i="33"/>
  <c r="BX36" i="33"/>
  <c r="BY36" i="33"/>
  <c r="BZ36" i="33"/>
  <c r="CA36" i="33"/>
  <c r="CB36" i="33"/>
  <c r="CC36" i="33"/>
  <c r="CD36" i="33"/>
  <c r="CE36" i="33"/>
  <c r="CF36" i="33"/>
  <c r="CG36" i="33"/>
  <c r="CH36" i="33"/>
  <c r="CI36" i="33"/>
  <c r="CJ36" i="33"/>
  <c r="CK36" i="33"/>
  <c r="CL36" i="33"/>
  <c r="CM36" i="33"/>
  <c r="CN36" i="33"/>
  <c r="CO36" i="33"/>
  <c r="CP36" i="33"/>
  <c r="CQ36" i="33"/>
  <c r="CR36" i="33"/>
  <c r="CS36" i="33"/>
  <c r="CT36" i="33"/>
  <c r="CU36" i="33"/>
  <c r="CV36" i="33"/>
  <c r="CW36" i="33"/>
  <c r="CX36" i="33"/>
  <c r="CY36" i="33"/>
  <c r="CZ36" i="33"/>
  <c r="DA36" i="33"/>
  <c r="DB36" i="33"/>
  <c r="DC36" i="33"/>
  <c r="DD36" i="33"/>
  <c r="DE36" i="33"/>
  <c r="DF36" i="33"/>
  <c r="DG36" i="33"/>
  <c r="DH36" i="33"/>
  <c r="DI36" i="33"/>
  <c r="DJ36" i="33"/>
  <c r="DK36" i="33"/>
  <c r="DL36" i="33"/>
  <c r="DM36" i="33"/>
  <c r="DN36" i="33"/>
  <c r="DO36" i="33"/>
  <c r="DP36" i="33"/>
  <c r="DQ36" i="33"/>
  <c r="DR36" i="33"/>
  <c r="DS36" i="33"/>
  <c r="DT36" i="33"/>
  <c r="DU36" i="33"/>
  <c r="DV36" i="33"/>
  <c r="DW36" i="33"/>
  <c r="DX36" i="33"/>
  <c r="DY36" i="33"/>
  <c r="DZ36" i="33"/>
  <c r="EA36" i="33"/>
  <c r="EB36" i="33"/>
  <c r="EC36" i="33"/>
  <c r="ED36" i="33"/>
  <c r="EE36" i="33"/>
  <c r="EF36" i="33"/>
  <c r="EI36" i="33"/>
  <c r="EJ36" i="33"/>
  <c r="EK36" i="33"/>
  <c r="EL36" i="33"/>
  <c r="EM36" i="33"/>
  <c r="EN36" i="33"/>
  <c r="EO36" i="33"/>
  <c r="EP36" i="33"/>
  <c r="EQ36" i="33"/>
  <c r="ER36" i="33"/>
  <c r="ES36" i="33"/>
  <c r="ET36" i="33"/>
  <c r="EU36" i="33"/>
  <c r="EV36" i="33"/>
  <c r="EW36" i="33"/>
  <c r="EX36" i="33"/>
  <c r="EY36" i="33"/>
  <c r="EZ36" i="33"/>
  <c r="FA36" i="33"/>
  <c r="FB36" i="33"/>
  <c r="FC36" i="33"/>
  <c r="FD36" i="33"/>
  <c r="FE36" i="33"/>
  <c r="FF36" i="33"/>
  <c r="FG36" i="33"/>
  <c r="FH36" i="33"/>
  <c r="FI36" i="33"/>
  <c r="FJ36" i="33"/>
  <c r="FK36" i="33"/>
  <c r="FL36" i="33"/>
  <c r="FM36" i="33"/>
  <c r="FN36" i="33"/>
  <c r="FO36" i="33"/>
  <c r="FP36" i="33"/>
  <c r="FQ36" i="33"/>
  <c r="FR36" i="33"/>
  <c r="FS36" i="33"/>
  <c r="FT36" i="33"/>
  <c r="FU36" i="33"/>
  <c r="FV36" i="33"/>
  <c r="FW36" i="33"/>
  <c r="FX36" i="33"/>
  <c r="FY36" i="33"/>
  <c r="FZ36" i="33"/>
  <c r="GA36" i="33"/>
  <c r="GB36" i="33"/>
  <c r="GC36" i="33"/>
  <c r="GD36" i="33"/>
  <c r="GE36" i="33"/>
  <c r="GF36" i="33"/>
  <c r="GG36" i="33"/>
  <c r="GH36" i="33"/>
  <c r="GI36" i="33"/>
  <c r="GJ36" i="33"/>
  <c r="GK36" i="33"/>
  <c r="GL36" i="33"/>
  <c r="GM36" i="33"/>
  <c r="GN36" i="33"/>
  <c r="GO36" i="33"/>
  <c r="GP36" i="33"/>
  <c r="GQ36" i="33"/>
  <c r="GR36" i="33"/>
  <c r="GS36" i="33"/>
  <c r="GT36" i="33"/>
  <c r="GU36" i="33"/>
  <c r="GV36" i="33"/>
  <c r="GW36" i="33"/>
  <c r="GX36" i="33"/>
  <c r="GY36" i="33"/>
  <c r="GZ36" i="33"/>
  <c r="HA36" i="33"/>
  <c r="HB36" i="33"/>
  <c r="HC36" i="33"/>
  <c r="HD36" i="33"/>
  <c r="HE36" i="33"/>
  <c r="HF36" i="33"/>
  <c r="HG36" i="33"/>
  <c r="HH36" i="33"/>
  <c r="HI36" i="33"/>
  <c r="HJ36" i="33"/>
  <c r="HK36" i="33"/>
  <c r="HL36" i="33"/>
  <c r="HM36" i="33"/>
  <c r="HN36" i="33"/>
  <c r="HO36" i="33"/>
  <c r="HP36" i="33"/>
  <c r="HQ36" i="33"/>
  <c r="HR36" i="33"/>
  <c r="HS36" i="33"/>
  <c r="HT36" i="33"/>
  <c r="HU36" i="33"/>
  <c r="HV36" i="33"/>
  <c r="HW36" i="33"/>
  <c r="HX36" i="33"/>
  <c r="HY36" i="33"/>
  <c r="HZ36" i="33"/>
  <c r="IA36" i="33"/>
  <c r="IB36" i="33"/>
  <c r="IC36" i="33"/>
  <c r="ID36" i="33"/>
  <c r="IE36" i="33"/>
  <c r="IF36" i="33"/>
  <c r="IG36" i="33"/>
  <c r="IH36" i="33"/>
  <c r="II36" i="33"/>
  <c r="IJ36" i="33"/>
  <c r="IK36" i="33"/>
  <c r="IL36" i="33"/>
  <c r="IM36" i="33"/>
  <c r="IN36" i="33"/>
  <c r="IO36" i="33"/>
  <c r="IP36" i="33"/>
  <c r="IQ36" i="33"/>
  <c r="IR36" i="33"/>
  <c r="IS36" i="33"/>
  <c r="IT36" i="33"/>
  <c r="IU36" i="33"/>
  <c r="IV36" i="33"/>
  <c r="A35" i="33"/>
  <c r="B35" i="33"/>
  <c r="C35" i="33"/>
  <c r="D35" i="33"/>
  <c r="E35" i="33"/>
  <c r="F35" i="33"/>
  <c r="G35" i="33"/>
  <c r="H35" i="33"/>
  <c r="I35" i="33"/>
  <c r="J35" i="33"/>
  <c r="K35" i="33"/>
  <c r="L35" i="33"/>
  <c r="M35" i="33"/>
  <c r="N35" i="33"/>
  <c r="O35" i="33"/>
  <c r="P35" i="33"/>
  <c r="Q35" i="33"/>
  <c r="R35" i="33"/>
  <c r="S35" i="33"/>
  <c r="T35" i="33"/>
  <c r="U35" i="33"/>
  <c r="V35" i="33"/>
  <c r="W35" i="33"/>
  <c r="X35" i="33"/>
  <c r="Y35" i="33"/>
  <c r="Z35" i="33"/>
  <c r="AA35" i="33"/>
  <c r="AB35" i="33"/>
  <c r="AC35" i="33"/>
  <c r="AD35" i="33"/>
  <c r="AE35" i="33"/>
  <c r="AF35" i="33"/>
  <c r="AG35" i="33"/>
  <c r="AH35" i="33"/>
  <c r="AI35" i="33"/>
  <c r="AJ35" i="33"/>
  <c r="AK35" i="33"/>
  <c r="AL35" i="33"/>
  <c r="AM35" i="33"/>
  <c r="AN35" i="33"/>
  <c r="AO35" i="33"/>
  <c r="AP35" i="33"/>
  <c r="AQ35" i="33"/>
  <c r="AR35" i="33"/>
  <c r="AS35" i="33"/>
  <c r="AT35" i="33"/>
  <c r="AU35" i="33"/>
  <c r="AV35" i="33"/>
  <c r="AW35" i="33"/>
  <c r="AX35" i="33"/>
  <c r="AY35" i="33"/>
  <c r="AZ35" i="33"/>
  <c r="BA35" i="33"/>
  <c r="BB35" i="33"/>
  <c r="BC35" i="33"/>
  <c r="BD35" i="33"/>
  <c r="BE35" i="33"/>
  <c r="BF35" i="33"/>
  <c r="BG35" i="33"/>
  <c r="BH35" i="33"/>
  <c r="BI35" i="33"/>
  <c r="BJ35" i="33"/>
  <c r="BK35" i="33"/>
  <c r="BL35" i="33"/>
  <c r="BM35" i="33"/>
  <c r="BN35" i="33"/>
  <c r="BO35" i="33"/>
  <c r="BP35" i="33"/>
  <c r="BQ35" i="33"/>
  <c r="BR35" i="33"/>
  <c r="BS35" i="33"/>
  <c r="BT35" i="33"/>
  <c r="BU35" i="33"/>
  <c r="BV35" i="33"/>
  <c r="BW35" i="33"/>
  <c r="BX35" i="33"/>
  <c r="BY35" i="33"/>
  <c r="BZ35" i="33"/>
  <c r="CA35" i="33"/>
  <c r="CB35" i="33"/>
  <c r="CC35" i="33"/>
  <c r="CD35" i="33"/>
  <c r="CE35" i="33"/>
  <c r="CF35" i="33"/>
  <c r="CG35" i="33"/>
  <c r="CH35" i="33"/>
  <c r="CI35" i="33"/>
  <c r="CJ35" i="33"/>
  <c r="CK35" i="33"/>
  <c r="CL35" i="33"/>
  <c r="CM35" i="33"/>
  <c r="CN35" i="33"/>
  <c r="CO35" i="33"/>
  <c r="CP35" i="33"/>
  <c r="CQ35" i="33"/>
  <c r="CR35" i="33"/>
  <c r="CS35" i="33"/>
  <c r="CT35" i="33"/>
  <c r="CU35" i="33"/>
  <c r="CV35" i="33"/>
  <c r="CW35" i="33"/>
  <c r="CX35" i="33"/>
  <c r="CY35" i="33"/>
  <c r="CZ35" i="33"/>
  <c r="DA35" i="33"/>
  <c r="DB35" i="33"/>
  <c r="DC35" i="33"/>
  <c r="DD35" i="33"/>
  <c r="DE35" i="33"/>
  <c r="DF35" i="33"/>
  <c r="DG35" i="33"/>
  <c r="DH35" i="33"/>
  <c r="DI35" i="33"/>
  <c r="DJ35" i="33"/>
  <c r="DK35" i="33"/>
  <c r="DL35" i="33"/>
  <c r="DM35" i="33"/>
  <c r="DN35" i="33"/>
  <c r="DO35" i="33"/>
  <c r="DP35" i="33"/>
  <c r="DQ35" i="33"/>
  <c r="DR35" i="33"/>
  <c r="DS35" i="33"/>
  <c r="DT35" i="33"/>
  <c r="DU35" i="33"/>
  <c r="DV35" i="33"/>
  <c r="DW35" i="33"/>
  <c r="DX35" i="33"/>
  <c r="DY35" i="33"/>
  <c r="DZ35" i="33"/>
  <c r="EA35" i="33"/>
  <c r="EB35" i="33"/>
  <c r="EC35" i="33"/>
  <c r="ED35" i="33"/>
  <c r="EE35" i="33"/>
  <c r="EF35" i="33"/>
  <c r="EG35" i="33"/>
  <c r="EH35" i="33"/>
  <c r="EI35" i="33"/>
  <c r="EJ35" i="33"/>
  <c r="EK35" i="33"/>
  <c r="EL35" i="33"/>
  <c r="EM35" i="33"/>
  <c r="EN35" i="33"/>
  <c r="EO35" i="33"/>
  <c r="EP35" i="33"/>
  <c r="EQ35" i="33"/>
  <c r="ER35" i="33"/>
  <c r="ES35" i="33"/>
  <c r="ET35" i="33"/>
  <c r="EU35" i="33"/>
  <c r="EV35" i="33"/>
  <c r="EW35" i="33"/>
  <c r="EX35" i="33"/>
  <c r="EY35" i="33"/>
  <c r="EZ35" i="33"/>
  <c r="FA35" i="33"/>
  <c r="FB35" i="33"/>
  <c r="FC35" i="33"/>
  <c r="FD35" i="33"/>
  <c r="FE35" i="33"/>
  <c r="FF35" i="33"/>
  <c r="FG35" i="33"/>
  <c r="FH35" i="33"/>
  <c r="FI35" i="33"/>
  <c r="FJ35" i="33"/>
  <c r="FK35" i="33"/>
  <c r="FL35" i="33"/>
  <c r="FM35" i="33"/>
  <c r="FN35" i="33"/>
  <c r="FO35" i="33"/>
  <c r="FP35" i="33"/>
  <c r="FQ35" i="33"/>
  <c r="FR35" i="33"/>
  <c r="FS35" i="33"/>
  <c r="FT35" i="33"/>
  <c r="FU35" i="33"/>
  <c r="FV35" i="33"/>
  <c r="FW35" i="33"/>
  <c r="FX35" i="33"/>
  <c r="FY35" i="33"/>
  <c r="FZ35" i="33"/>
  <c r="GA35" i="33"/>
  <c r="GB35" i="33"/>
  <c r="GC35" i="33"/>
  <c r="GD35" i="33"/>
  <c r="GE35" i="33"/>
  <c r="GF35" i="33"/>
  <c r="GG35" i="33"/>
  <c r="GH35" i="33"/>
  <c r="GI35" i="33"/>
  <c r="GJ35" i="33"/>
  <c r="GK35" i="33"/>
  <c r="GL35" i="33"/>
  <c r="GM35" i="33"/>
  <c r="GN35" i="33"/>
  <c r="GO35" i="33"/>
  <c r="GP35" i="33"/>
  <c r="GQ35" i="33"/>
  <c r="GR35" i="33"/>
  <c r="GS35" i="33"/>
  <c r="GT35" i="33"/>
  <c r="GU35" i="33"/>
  <c r="GV35" i="33"/>
  <c r="GW35" i="33"/>
  <c r="GX35" i="33"/>
  <c r="GY35" i="33"/>
  <c r="GZ35" i="33"/>
  <c r="HA35" i="33"/>
  <c r="HB35" i="33"/>
  <c r="HC35" i="33"/>
  <c r="HD35" i="33"/>
  <c r="HE35" i="33"/>
  <c r="HF35" i="33"/>
  <c r="HG35" i="33"/>
  <c r="HH35" i="33"/>
  <c r="HI35" i="33"/>
  <c r="HJ35" i="33"/>
  <c r="HK35" i="33"/>
  <c r="HL35" i="33"/>
  <c r="HM35" i="33"/>
  <c r="HN35" i="33"/>
  <c r="HO35" i="33"/>
  <c r="HP35" i="33"/>
  <c r="HQ35" i="33"/>
  <c r="HR35" i="33"/>
  <c r="HS35" i="33"/>
  <c r="HT35" i="33"/>
  <c r="HU35" i="33"/>
  <c r="HV35" i="33"/>
  <c r="HW35" i="33"/>
  <c r="HX35" i="33"/>
  <c r="HY35" i="33"/>
  <c r="HZ35" i="33"/>
  <c r="IA35" i="33"/>
  <c r="IB35" i="33"/>
  <c r="IC35" i="33"/>
  <c r="ID35" i="33"/>
  <c r="IE35" i="33"/>
  <c r="IF35" i="33"/>
  <c r="IG35" i="33"/>
  <c r="IH35" i="33"/>
  <c r="II35" i="33"/>
  <c r="IJ35" i="33"/>
  <c r="IK35" i="33"/>
  <c r="IL35" i="33"/>
  <c r="IM35" i="33"/>
  <c r="IN35" i="33"/>
  <c r="IO35" i="33"/>
  <c r="IP35" i="33"/>
  <c r="IQ35" i="33"/>
  <c r="IR35" i="33"/>
  <c r="IS35" i="33"/>
  <c r="IT35" i="33"/>
  <c r="IU35" i="33"/>
  <c r="IV35" i="33"/>
  <c r="A34" i="33"/>
  <c r="B34" i="33"/>
  <c r="C34" i="33"/>
  <c r="D34" i="33"/>
  <c r="E34" i="33"/>
  <c r="F34" i="33"/>
  <c r="G34" i="33"/>
  <c r="H34" i="33"/>
  <c r="J34" i="33"/>
  <c r="K34" i="33"/>
  <c r="L34" i="33"/>
  <c r="M34" i="33"/>
  <c r="N34" i="33"/>
  <c r="O34" i="33"/>
  <c r="P34" i="33"/>
  <c r="Q34" i="33"/>
  <c r="R34" i="33"/>
  <c r="S34" i="33"/>
  <c r="T34" i="33"/>
  <c r="U34" i="33"/>
  <c r="V34" i="33"/>
  <c r="W34" i="33"/>
  <c r="X34" i="33"/>
  <c r="Y34" i="33"/>
  <c r="Z34" i="33"/>
  <c r="AA34" i="33"/>
  <c r="AB34" i="33"/>
  <c r="AC34" i="33"/>
  <c r="AD34" i="33"/>
  <c r="AE34" i="33"/>
  <c r="AF34" i="33"/>
  <c r="AG34" i="33"/>
  <c r="AH34" i="33"/>
  <c r="AI34" i="33"/>
  <c r="AJ34" i="33"/>
  <c r="AK34" i="33"/>
  <c r="AL34" i="33"/>
  <c r="AM34" i="33"/>
  <c r="AN34" i="33"/>
  <c r="AO34" i="33"/>
  <c r="AP34" i="33"/>
  <c r="AQ34" i="33"/>
  <c r="AR34" i="33"/>
  <c r="AS34" i="33"/>
  <c r="AT34" i="33"/>
  <c r="AU34" i="33"/>
  <c r="AV34" i="33"/>
  <c r="AW34" i="33"/>
  <c r="AX34" i="33"/>
  <c r="AY34" i="33"/>
  <c r="AZ34" i="33"/>
  <c r="BA34" i="33"/>
  <c r="BB34" i="33"/>
  <c r="BC34" i="33"/>
  <c r="BD34" i="33"/>
  <c r="BE34" i="33"/>
  <c r="BF34" i="33"/>
  <c r="BG34" i="33"/>
  <c r="BH34" i="33"/>
  <c r="BI34" i="33"/>
  <c r="BJ34" i="33"/>
  <c r="BK34" i="33"/>
  <c r="BL34" i="33"/>
  <c r="BM34" i="33"/>
  <c r="BN34" i="33"/>
  <c r="BO34" i="33"/>
  <c r="BP34" i="33"/>
  <c r="BQ34" i="33"/>
  <c r="BR34" i="33"/>
  <c r="BS34" i="33"/>
  <c r="BT34" i="33"/>
  <c r="BU34" i="33"/>
  <c r="BV34" i="33"/>
  <c r="BW34" i="33"/>
  <c r="BX34" i="33"/>
  <c r="BY34" i="33"/>
  <c r="BZ34" i="33"/>
  <c r="CA34" i="33"/>
  <c r="CB34" i="33"/>
  <c r="CC34" i="33"/>
  <c r="CD34" i="33"/>
  <c r="CE34" i="33"/>
  <c r="CF34" i="33"/>
  <c r="CG34" i="33"/>
  <c r="CH34" i="33"/>
  <c r="CI34" i="33"/>
  <c r="CJ34" i="33"/>
  <c r="CK34" i="33"/>
  <c r="CL34" i="33"/>
  <c r="CM34" i="33"/>
  <c r="CN34" i="33"/>
  <c r="CO34" i="33"/>
  <c r="CP34" i="33"/>
  <c r="CQ34" i="33"/>
  <c r="CR34" i="33"/>
  <c r="CS34" i="33"/>
  <c r="CT34" i="33"/>
  <c r="CU34" i="33"/>
  <c r="CV34" i="33"/>
  <c r="CW34" i="33"/>
  <c r="CX34" i="33"/>
  <c r="CY34" i="33"/>
  <c r="CZ34" i="33"/>
  <c r="DA34" i="33"/>
  <c r="DB34" i="33"/>
  <c r="DC34" i="33"/>
  <c r="DD34" i="33"/>
  <c r="DE34" i="33"/>
  <c r="DF34" i="33"/>
  <c r="DG34" i="33"/>
  <c r="DH34" i="33"/>
  <c r="DI34" i="33"/>
  <c r="DJ34" i="33"/>
  <c r="DK34" i="33"/>
  <c r="DL34" i="33"/>
  <c r="DM34" i="33"/>
  <c r="DN34" i="33"/>
  <c r="DO34" i="33"/>
  <c r="DP34" i="33"/>
  <c r="DQ34" i="33"/>
  <c r="DR34" i="33"/>
  <c r="DS34" i="33"/>
  <c r="DT34" i="33"/>
  <c r="DU34" i="33"/>
  <c r="DV34" i="33"/>
  <c r="DW34" i="33"/>
  <c r="DX34" i="33"/>
  <c r="DY34" i="33"/>
  <c r="DZ34" i="33"/>
  <c r="EA34" i="33"/>
  <c r="EB34" i="33"/>
  <c r="EC34" i="33"/>
  <c r="ED34" i="33"/>
  <c r="EE34" i="33"/>
  <c r="EF34" i="33"/>
  <c r="EG34" i="33"/>
  <c r="EH34" i="33"/>
  <c r="EI34" i="33"/>
  <c r="EJ34" i="33"/>
  <c r="EK34" i="33"/>
  <c r="EL34" i="33"/>
  <c r="EM34" i="33"/>
  <c r="EN34" i="33"/>
  <c r="EO34" i="33"/>
  <c r="EP34" i="33"/>
  <c r="EQ34" i="33"/>
  <c r="ER34" i="33"/>
  <c r="ES34" i="33"/>
  <c r="ET34" i="33"/>
  <c r="EU34" i="33"/>
  <c r="EV34" i="33"/>
  <c r="EW34" i="33"/>
  <c r="EX34" i="33"/>
  <c r="EY34" i="33"/>
  <c r="EZ34" i="33"/>
  <c r="FA34" i="33"/>
  <c r="FB34" i="33"/>
  <c r="FC34" i="33"/>
  <c r="FD34" i="33"/>
  <c r="FE34" i="33"/>
  <c r="FF34" i="33"/>
  <c r="FG34" i="33"/>
  <c r="FH34" i="33"/>
  <c r="FI34" i="33"/>
  <c r="FJ34" i="33"/>
  <c r="FK34" i="33"/>
  <c r="FL34" i="33"/>
  <c r="FM34" i="33"/>
  <c r="FN34" i="33"/>
  <c r="FO34" i="33"/>
  <c r="FP34" i="33"/>
  <c r="FQ34" i="33"/>
  <c r="FR34" i="33"/>
  <c r="FS34" i="33"/>
  <c r="FT34" i="33"/>
  <c r="FU34" i="33"/>
  <c r="FV34" i="33"/>
  <c r="FW34" i="33"/>
  <c r="FX34" i="33"/>
  <c r="FY34" i="33"/>
  <c r="FZ34" i="33"/>
  <c r="GA34" i="33"/>
  <c r="GB34" i="33"/>
  <c r="GC34" i="33"/>
  <c r="GD34" i="33"/>
  <c r="GE34" i="33"/>
  <c r="GF34" i="33"/>
  <c r="GG34" i="33"/>
  <c r="GH34" i="33"/>
  <c r="GI34" i="33"/>
  <c r="GJ34" i="33"/>
  <c r="GK34" i="33"/>
  <c r="GL34" i="33"/>
  <c r="GM34" i="33"/>
  <c r="GN34" i="33"/>
  <c r="GO34" i="33"/>
  <c r="GP34" i="33"/>
  <c r="GQ34" i="33"/>
  <c r="GR34" i="33"/>
  <c r="GS34" i="33"/>
  <c r="GT34" i="33"/>
  <c r="GU34" i="33"/>
  <c r="GV34" i="33"/>
  <c r="GW34" i="33"/>
  <c r="GX34" i="33"/>
  <c r="GY34" i="33"/>
  <c r="GZ34" i="33"/>
  <c r="HA34" i="33"/>
  <c r="HB34" i="33"/>
  <c r="HC34" i="33"/>
  <c r="HD34" i="33"/>
  <c r="HE34" i="33"/>
  <c r="HF34" i="33"/>
  <c r="HG34" i="33"/>
  <c r="HH34" i="33"/>
  <c r="HI34" i="33"/>
  <c r="HJ34" i="33"/>
  <c r="HK34" i="33"/>
  <c r="HL34" i="33"/>
  <c r="HM34" i="33"/>
  <c r="HN34" i="33"/>
  <c r="HO34" i="33"/>
  <c r="HP34" i="33"/>
  <c r="HQ34" i="33"/>
  <c r="HR34" i="33"/>
  <c r="HS34" i="33"/>
  <c r="HT34" i="33"/>
  <c r="HU34" i="33"/>
  <c r="HV34" i="33"/>
  <c r="HW34" i="33"/>
  <c r="HX34" i="33"/>
  <c r="HY34" i="33"/>
  <c r="HZ34" i="33"/>
  <c r="IA34" i="33"/>
  <c r="IB34" i="33"/>
  <c r="IC34" i="33"/>
  <c r="ID34" i="33"/>
  <c r="IE34" i="33"/>
  <c r="IF34" i="33"/>
  <c r="IG34" i="33"/>
  <c r="IH34" i="33"/>
  <c r="II34" i="33"/>
  <c r="IJ34" i="33"/>
  <c r="IK34" i="33"/>
  <c r="IL34" i="33"/>
  <c r="IM34" i="33"/>
  <c r="IN34" i="33"/>
  <c r="IO34" i="33"/>
  <c r="IP34" i="33"/>
  <c r="IQ34" i="33"/>
  <c r="IR34" i="33"/>
  <c r="IS34" i="33"/>
  <c r="IT34" i="33"/>
  <c r="IU34" i="33"/>
  <c r="IV34" i="33"/>
  <c r="A33" i="33"/>
  <c r="B33" i="33"/>
  <c r="C33" i="33"/>
  <c r="D33" i="33"/>
  <c r="E33" i="33"/>
  <c r="F33" i="33"/>
  <c r="G33" i="33"/>
  <c r="H33" i="33"/>
  <c r="I33" i="33"/>
  <c r="J33" i="33"/>
  <c r="K33" i="33"/>
  <c r="L33" i="33"/>
  <c r="M33" i="33"/>
  <c r="N33" i="33"/>
  <c r="O33" i="33"/>
  <c r="P33" i="33"/>
  <c r="Q33" i="33"/>
  <c r="R33" i="33"/>
  <c r="S33" i="33"/>
  <c r="T33" i="33"/>
  <c r="U33" i="33"/>
  <c r="V33" i="33"/>
  <c r="W33" i="33"/>
  <c r="X33" i="33"/>
  <c r="Y33" i="33"/>
  <c r="Z33" i="33"/>
  <c r="AA33" i="33"/>
  <c r="AB33" i="33"/>
  <c r="AC33" i="33"/>
  <c r="AD33" i="33"/>
  <c r="AE33" i="33"/>
  <c r="AF33" i="33"/>
  <c r="AG33" i="33"/>
  <c r="AH33" i="33"/>
  <c r="AI33" i="33"/>
  <c r="AJ33" i="33"/>
  <c r="AK33" i="33"/>
  <c r="AL33" i="33"/>
  <c r="AM33" i="33"/>
  <c r="AN33" i="33"/>
  <c r="AO33" i="33"/>
  <c r="AP33" i="33"/>
  <c r="AQ33" i="33"/>
  <c r="AR33" i="33"/>
  <c r="AS33" i="33"/>
  <c r="AT33" i="33"/>
  <c r="AU33" i="33"/>
  <c r="AV33" i="33"/>
  <c r="AW33" i="33"/>
  <c r="AX33" i="33"/>
  <c r="AY33" i="33"/>
  <c r="AZ33" i="33"/>
  <c r="BA33" i="33"/>
  <c r="BB33" i="33"/>
  <c r="BC33" i="33"/>
  <c r="BD33" i="33"/>
  <c r="BE33" i="33"/>
  <c r="BF33" i="33"/>
  <c r="BG33" i="33"/>
  <c r="BH33" i="33"/>
  <c r="BI33" i="33"/>
  <c r="BJ33" i="33"/>
  <c r="BK33" i="33"/>
  <c r="BL33" i="33"/>
  <c r="BM33" i="33"/>
  <c r="BN33" i="33"/>
  <c r="BO33" i="33"/>
  <c r="BP33" i="33"/>
  <c r="BQ33" i="33"/>
  <c r="BR33" i="33"/>
  <c r="BS33" i="33"/>
  <c r="BT33" i="33"/>
  <c r="BU33" i="33"/>
  <c r="BV33" i="33"/>
  <c r="BW33" i="33"/>
  <c r="BX33" i="33"/>
  <c r="BY33" i="33"/>
  <c r="BZ33" i="33"/>
  <c r="CA33" i="33"/>
  <c r="CB33" i="33"/>
  <c r="CC33" i="33"/>
  <c r="CD33" i="33"/>
  <c r="CE33" i="33"/>
  <c r="CF33" i="33"/>
  <c r="CG33" i="33"/>
  <c r="CH33" i="33"/>
  <c r="CI33" i="33"/>
  <c r="CJ33" i="33"/>
  <c r="CK33" i="33"/>
  <c r="CL33" i="33"/>
  <c r="CM33" i="33"/>
  <c r="CN33" i="33"/>
  <c r="CO33" i="33"/>
  <c r="CP33" i="33"/>
  <c r="CQ33" i="33"/>
  <c r="CR33" i="33"/>
  <c r="CS33" i="33"/>
  <c r="CT33" i="33"/>
  <c r="CU33" i="33"/>
  <c r="CV33" i="33"/>
  <c r="CW33" i="33"/>
  <c r="CX33" i="33"/>
  <c r="CY33" i="33"/>
  <c r="CZ33" i="33"/>
  <c r="DA33" i="33"/>
  <c r="DB33" i="33"/>
  <c r="DC33" i="33"/>
  <c r="DD33" i="33"/>
  <c r="DE33" i="33"/>
  <c r="DF33" i="33"/>
  <c r="DG33" i="33"/>
  <c r="DH33" i="33"/>
  <c r="DI33" i="33"/>
  <c r="DJ33" i="33"/>
  <c r="DK33" i="33"/>
  <c r="DL33" i="33"/>
  <c r="DM33" i="33"/>
  <c r="DN33" i="33"/>
  <c r="DO33" i="33"/>
  <c r="DP33" i="33"/>
  <c r="DQ33" i="33"/>
  <c r="DR33" i="33"/>
  <c r="DS33" i="33"/>
  <c r="DT33" i="33"/>
  <c r="DU33" i="33"/>
  <c r="DV33" i="33"/>
  <c r="DW33" i="33"/>
  <c r="DX33" i="33"/>
  <c r="DY33" i="33"/>
  <c r="DZ33" i="33"/>
  <c r="EA33" i="33"/>
  <c r="EB33" i="33"/>
  <c r="EC33" i="33"/>
  <c r="ED33" i="33"/>
  <c r="EE33" i="33"/>
  <c r="EF33" i="33"/>
  <c r="EG33" i="33"/>
  <c r="EH33" i="33"/>
  <c r="EI33" i="33"/>
  <c r="EJ33" i="33"/>
  <c r="EK33" i="33"/>
  <c r="EL33" i="33"/>
  <c r="EM33" i="33"/>
  <c r="EN33" i="33"/>
  <c r="EO33" i="33"/>
  <c r="EP33" i="33"/>
  <c r="EQ33" i="33"/>
  <c r="ER33" i="33"/>
  <c r="ES33" i="33"/>
  <c r="ET33" i="33"/>
  <c r="EU33" i="33"/>
  <c r="EV33" i="33"/>
  <c r="EW33" i="33"/>
  <c r="EX33" i="33"/>
  <c r="EY33" i="33"/>
  <c r="EZ33" i="33"/>
  <c r="FA33" i="33"/>
  <c r="FB33" i="33"/>
  <c r="FC33" i="33"/>
  <c r="FD33" i="33"/>
  <c r="FE33" i="33"/>
  <c r="FF33" i="33"/>
  <c r="FG33" i="33"/>
  <c r="FH33" i="33"/>
  <c r="FI33" i="33"/>
  <c r="FJ33" i="33"/>
  <c r="FK33" i="33"/>
  <c r="FL33" i="33"/>
  <c r="FM33" i="33"/>
  <c r="FN33" i="33"/>
  <c r="FO33" i="33"/>
  <c r="FP33" i="33"/>
  <c r="FQ33" i="33"/>
  <c r="FR33" i="33"/>
  <c r="FS33" i="33"/>
  <c r="FT33" i="33"/>
  <c r="FU33" i="33"/>
  <c r="FV33" i="33"/>
  <c r="FW33" i="33"/>
  <c r="FX33" i="33"/>
  <c r="FY33" i="33"/>
  <c r="FZ33" i="33"/>
  <c r="GA33" i="33"/>
  <c r="GB33" i="33"/>
  <c r="GC33" i="33"/>
  <c r="GD33" i="33"/>
  <c r="GE33" i="33"/>
  <c r="GF33" i="33"/>
  <c r="GG33" i="33"/>
  <c r="GH33" i="33"/>
  <c r="GI33" i="33"/>
  <c r="GJ33" i="33"/>
  <c r="GK33" i="33"/>
  <c r="GL33" i="33"/>
  <c r="GM33" i="33"/>
  <c r="GN33" i="33"/>
  <c r="GO33" i="33"/>
  <c r="GP33" i="33"/>
  <c r="GQ33" i="33"/>
  <c r="GR33" i="33"/>
  <c r="GS33" i="33"/>
  <c r="GT33" i="33"/>
  <c r="GU33" i="33"/>
  <c r="GV33" i="33"/>
  <c r="GW33" i="33"/>
  <c r="GX33" i="33"/>
  <c r="GY33" i="33"/>
  <c r="GZ33" i="33"/>
  <c r="HA33" i="33"/>
  <c r="HB33" i="33"/>
  <c r="HC33" i="33"/>
  <c r="HD33" i="33"/>
  <c r="HE33" i="33"/>
  <c r="HF33" i="33"/>
  <c r="HG33" i="33"/>
  <c r="HH33" i="33"/>
  <c r="HI33" i="33"/>
  <c r="HJ33" i="33"/>
  <c r="HK33" i="33"/>
  <c r="HL33" i="33"/>
  <c r="HM33" i="33"/>
  <c r="HN33" i="33"/>
  <c r="HO33" i="33"/>
  <c r="HP33" i="33"/>
  <c r="HQ33" i="33"/>
  <c r="HR33" i="33"/>
  <c r="HS33" i="33"/>
  <c r="HT33" i="33"/>
  <c r="HU33" i="33"/>
  <c r="HV33" i="33"/>
  <c r="HW33" i="33"/>
  <c r="HX33" i="33"/>
  <c r="HY33" i="33"/>
  <c r="HZ33" i="33"/>
  <c r="IA33" i="33"/>
  <c r="IB33" i="33"/>
  <c r="IC33" i="33"/>
  <c r="ID33" i="33"/>
  <c r="IE33" i="33"/>
  <c r="IF33" i="33"/>
  <c r="IG33" i="33"/>
  <c r="IH33" i="33"/>
  <c r="II33" i="33"/>
  <c r="IJ33" i="33"/>
  <c r="IK33" i="33"/>
  <c r="IL33" i="33"/>
  <c r="IM33" i="33"/>
  <c r="IN33" i="33"/>
  <c r="IO33" i="33"/>
  <c r="IP33" i="33"/>
  <c r="IQ33" i="33"/>
  <c r="IR33" i="33"/>
  <c r="IS33" i="33"/>
  <c r="IT33" i="33"/>
  <c r="IU33" i="33"/>
  <c r="IV33" i="33"/>
  <c r="A32" i="33"/>
  <c r="B32" i="33"/>
  <c r="C32" i="33"/>
  <c r="D32" i="33"/>
  <c r="E32" i="33"/>
  <c r="F32" i="33"/>
  <c r="G32" i="33"/>
  <c r="H32" i="33"/>
  <c r="I32" i="33"/>
  <c r="J32" i="33"/>
  <c r="K32" i="33"/>
  <c r="L32" i="33"/>
  <c r="M32" i="33"/>
  <c r="N32" i="33"/>
  <c r="O32" i="33"/>
  <c r="P32" i="33"/>
  <c r="Q32" i="33"/>
  <c r="R32" i="33"/>
  <c r="S32" i="33"/>
  <c r="T32" i="33"/>
  <c r="U32" i="33"/>
  <c r="V32" i="33"/>
  <c r="W32" i="33"/>
  <c r="X32" i="33"/>
  <c r="Y32" i="33"/>
  <c r="Z32" i="33"/>
  <c r="AA32" i="33"/>
  <c r="AB32" i="33"/>
  <c r="AC32" i="33"/>
  <c r="AD32" i="33"/>
  <c r="AE32" i="33"/>
  <c r="AF32" i="33"/>
  <c r="AG32" i="33"/>
  <c r="AH32" i="33"/>
  <c r="AI32" i="33"/>
  <c r="AJ32" i="33"/>
  <c r="AK32" i="33"/>
  <c r="AL32" i="33"/>
  <c r="AM32" i="33"/>
  <c r="AN32" i="33"/>
  <c r="AO32" i="33"/>
  <c r="AP32" i="33"/>
  <c r="AQ32" i="33"/>
  <c r="AR32" i="33"/>
  <c r="AS32" i="33"/>
  <c r="AT32" i="33"/>
  <c r="AU32" i="33"/>
  <c r="AV32" i="33"/>
  <c r="AW32" i="33"/>
  <c r="AX32" i="33"/>
  <c r="AY32" i="33"/>
  <c r="AZ32" i="33"/>
  <c r="BA32" i="33"/>
  <c r="BB32" i="33"/>
  <c r="BC32" i="33"/>
  <c r="BD32" i="33"/>
  <c r="BE32" i="33"/>
  <c r="BF32" i="33"/>
  <c r="BG32" i="33"/>
  <c r="BH32" i="33"/>
  <c r="BI32" i="33"/>
  <c r="BJ32" i="33"/>
  <c r="BK32" i="33"/>
  <c r="BL32" i="33"/>
  <c r="BM32" i="33"/>
  <c r="BN32" i="33"/>
  <c r="BO32" i="33"/>
  <c r="BP32" i="33"/>
  <c r="BQ32" i="33"/>
  <c r="BR32" i="33"/>
  <c r="BS32" i="33"/>
  <c r="BT32" i="33"/>
  <c r="BU32" i="33"/>
  <c r="BV32" i="33"/>
  <c r="BW32" i="33"/>
  <c r="BX32" i="33"/>
  <c r="BY32" i="33"/>
  <c r="BZ32" i="33"/>
  <c r="CA32" i="33"/>
  <c r="CB32" i="33"/>
  <c r="CC32" i="33"/>
  <c r="CD32" i="33"/>
  <c r="CE32" i="33"/>
  <c r="CF32" i="33"/>
  <c r="CG32" i="33"/>
  <c r="CH32" i="33"/>
  <c r="CI32" i="33"/>
  <c r="CJ32" i="33"/>
  <c r="CK32" i="33"/>
  <c r="CL32" i="33"/>
  <c r="CM32" i="33"/>
  <c r="CN32" i="33"/>
  <c r="CO32" i="33"/>
  <c r="CP32" i="33"/>
  <c r="CQ32" i="33"/>
  <c r="CR32" i="33"/>
  <c r="CS32" i="33"/>
  <c r="CT32" i="33"/>
  <c r="CU32" i="33"/>
  <c r="CV32" i="33"/>
  <c r="CW32" i="33"/>
  <c r="CX32" i="33"/>
  <c r="CY32" i="33"/>
  <c r="CZ32" i="33"/>
  <c r="DA32" i="33"/>
  <c r="DB32" i="33"/>
  <c r="DC32" i="33"/>
  <c r="DD32" i="33"/>
  <c r="DE32" i="33"/>
  <c r="DF32" i="33"/>
  <c r="DG32" i="33"/>
  <c r="DH32" i="33"/>
  <c r="DI32" i="33"/>
  <c r="DJ32" i="33"/>
  <c r="DK32" i="33"/>
  <c r="DL32" i="33"/>
  <c r="DM32" i="33"/>
  <c r="DN32" i="33"/>
  <c r="DO32" i="33"/>
  <c r="DP32" i="33"/>
  <c r="DQ32" i="33"/>
  <c r="DR32" i="33"/>
  <c r="DS32" i="33"/>
  <c r="DT32" i="33"/>
  <c r="DU32" i="33"/>
  <c r="DV32" i="33"/>
  <c r="DW32" i="33"/>
  <c r="DX32" i="33"/>
  <c r="DY32" i="33"/>
  <c r="DZ32" i="33"/>
  <c r="EA32" i="33"/>
  <c r="EB32" i="33"/>
  <c r="EC32" i="33"/>
  <c r="ED32" i="33"/>
  <c r="EE32" i="33"/>
  <c r="EF32" i="33"/>
  <c r="EG32" i="33"/>
  <c r="EH32" i="33"/>
  <c r="EI32" i="33"/>
  <c r="EJ32" i="33"/>
  <c r="EK32" i="33"/>
  <c r="EL32" i="33"/>
  <c r="EM32" i="33"/>
  <c r="EN32" i="33"/>
  <c r="EO32" i="33"/>
  <c r="EP32" i="33"/>
  <c r="EQ32" i="33"/>
  <c r="ER32" i="33"/>
  <c r="ES32" i="33"/>
  <c r="ET32" i="33"/>
  <c r="EU32" i="33"/>
  <c r="EV32" i="33"/>
  <c r="EW32" i="33"/>
  <c r="EX32" i="33"/>
  <c r="EY32" i="33"/>
  <c r="EZ32" i="33"/>
  <c r="FA32" i="33"/>
  <c r="FB32" i="33"/>
  <c r="FC32" i="33"/>
  <c r="FD32" i="33"/>
  <c r="FE32" i="33"/>
  <c r="FF32" i="33"/>
  <c r="FG32" i="33"/>
  <c r="FH32" i="33"/>
  <c r="FI32" i="33"/>
  <c r="FJ32" i="33"/>
  <c r="FK32" i="33"/>
  <c r="FL32" i="33"/>
  <c r="FM32" i="33"/>
  <c r="FN32" i="33"/>
  <c r="FO32" i="33"/>
  <c r="FP32" i="33"/>
  <c r="FQ32" i="33"/>
  <c r="FR32" i="33"/>
  <c r="FS32" i="33"/>
  <c r="FT32" i="33"/>
  <c r="FU32" i="33"/>
  <c r="FV32" i="33"/>
  <c r="FW32" i="33"/>
  <c r="FX32" i="33"/>
  <c r="FY32" i="33"/>
  <c r="FZ32" i="33"/>
  <c r="GA32" i="33"/>
  <c r="GB32" i="33"/>
  <c r="GC32" i="33"/>
  <c r="GD32" i="33"/>
  <c r="GE32" i="33"/>
  <c r="GF32" i="33"/>
  <c r="GG32" i="33"/>
  <c r="GH32" i="33"/>
  <c r="GI32" i="33"/>
  <c r="GJ32" i="33"/>
  <c r="GK32" i="33"/>
  <c r="GL32" i="33"/>
  <c r="GM32" i="33"/>
  <c r="GN32" i="33"/>
  <c r="GO32" i="33"/>
  <c r="GP32" i="33"/>
  <c r="GQ32" i="33"/>
  <c r="GR32" i="33"/>
  <c r="GS32" i="33"/>
  <c r="GT32" i="33"/>
  <c r="GU32" i="33"/>
  <c r="GV32" i="33"/>
  <c r="GW32" i="33"/>
  <c r="GX32" i="33"/>
  <c r="GY32" i="33"/>
  <c r="GZ32" i="33"/>
  <c r="HA32" i="33"/>
  <c r="HB32" i="33"/>
  <c r="HC32" i="33"/>
  <c r="HD32" i="33"/>
  <c r="HE32" i="33"/>
  <c r="HF32" i="33"/>
  <c r="HG32" i="33"/>
  <c r="HH32" i="33"/>
  <c r="HI32" i="33"/>
  <c r="HJ32" i="33"/>
  <c r="HK32" i="33"/>
  <c r="HL32" i="33"/>
  <c r="HM32" i="33"/>
  <c r="HN32" i="33"/>
  <c r="HO32" i="33"/>
  <c r="HP32" i="33"/>
  <c r="HQ32" i="33"/>
  <c r="HR32" i="33"/>
  <c r="HS32" i="33"/>
  <c r="HT32" i="33"/>
  <c r="HU32" i="33"/>
  <c r="HV32" i="33"/>
  <c r="HW32" i="33"/>
  <c r="HX32" i="33"/>
  <c r="HY32" i="33"/>
  <c r="HZ32" i="33"/>
  <c r="IA32" i="33"/>
  <c r="IB32" i="33"/>
  <c r="IC32" i="33"/>
  <c r="ID32" i="33"/>
  <c r="IE32" i="33"/>
  <c r="IF32" i="33"/>
  <c r="IG32" i="33"/>
  <c r="IH32" i="33"/>
  <c r="II32" i="33"/>
  <c r="IJ32" i="33"/>
  <c r="IK32" i="33"/>
  <c r="IM32" i="33"/>
  <c r="IN32" i="33"/>
  <c r="IO32" i="33"/>
  <c r="IP32" i="33"/>
  <c r="IR32" i="33"/>
  <c r="IU32" i="33"/>
  <c r="IV32" i="33"/>
  <c r="A31" i="33"/>
  <c r="B31" i="33"/>
  <c r="C31" i="33"/>
  <c r="D31" i="33"/>
  <c r="E31" i="33"/>
  <c r="G31" i="33"/>
  <c r="H31" i="33"/>
  <c r="I31" i="33"/>
  <c r="J31" i="33"/>
  <c r="K31" i="33"/>
  <c r="L31" i="33"/>
  <c r="M31" i="33"/>
  <c r="N31" i="33"/>
  <c r="O31" i="33"/>
  <c r="P31" i="33"/>
  <c r="Q31" i="33"/>
  <c r="R31" i="33"/>
  <c r="S31" i="33"/>
  <c r="T31" i="33"/>
  <c r="U31" i="33"/>
  <c r="V31" i="33"/>
  <c r="W31" i="33"/>
  <c r="X31" i="33"/>
  <c r="Y31" i="33"/>
  <c r="Z31" i="33"/>
  <c r="AA31" i="33"/>
  <c r="AB31" i="33"/>
  <c r="AC31" i="33"/>
  <c r="AD31" i="33"/>
  <c r="AE31" i="33"/>
  <c r="AF31" i="33"/>
  <c r="AG31" i="33"/>
  <c r="AH31" i="33"/>
  <c r="AI31" i="33"/>
  <c r="AJ31" i="33"/>
  <c r="AK31" i="33"/>
  <c r="AL31" i="33"/>
  <c r="AM31" i="33"/>
  <c r="AN31" i="33"/>
  <c r="AO31" i="33"/>
  <c r="AP31" i="33"/>
  <c r="AQ31" i="33"/>
  <c r="AR31" i="33"/>
  <c r="AS31" i="33"/>
  <c r="AT31" i="33"/>
  <c r="AU31" i="33"/>
  <c r="AV31" i="33"/>
  <c r="AW31" i="33"/>
  <c r="AX31" i="33"/>
  <c r="AY31" i="33"/>
  <c r="AZ31" i="33"/>
  <c r="BA31" i="33"/>
  <c r="BB31" i="33"/>
  <c r="BC31" i="33"/>
  <c r="BD31" i="33"/>
  <c r="BE31" i="33"/>
  <c r="BF31" i="33"/>
  <c r="BG31" i="33"/>
  <c r="BH31" i="33"/>
  <c r="BI31" i="33"/>
  <c r="BJ31" i="33"/>
  <c r="BK31" i="33"/>
  <c r="BL31" i="33"/>
  <c r="BM31" i="33"/>
  <c r="BN31" i="33"/>
  <c r="BO31" i="33"/>
  <c r="BP31" i="33"/>
  <c r="BQ31" i="33"/>
  <c r="BR31" i="33"/>
  <c r="BS31" i="33"/>
  <c r="BT31" i="33"/>
  <c r="BU31" i="33"/>
  <c r="BV31" i="33"/>
  <c r="BW31" i="33"/>
  <c r="BX31" i="33"/>
  <c r="BY31" i="33"/>
  <c r="BZ31" i="33"/>
  <c r="CA31" i="33"/>
  <c r="CB31" i="33"/>
  <c r="CC31" i="33"/>
  <c r="CD31" i="33"/>
  <c r="CE31" i="33"/>
  <c r="CF31" i="33"/>
  <c r="CG31" i="33"/>
  <c r="CH31" i="33"/>
  <c r="CI31" i="33"/>
  <c r="CJ31" i="33"/>
  <c r="CK31" i="33"/>
  <c r="CL31" i="33"/>
  <c r="CM31" i="33"/>
  <c r="CN31" i="33"/>
  <c r="CO31" i="33"/>
  <c r="CP31" i="33"/>
  <c r="CQ31" i="33"/>
  <c r="CR31" i="33"/>
  <c r="CS31" i="33"/>
  <c r="CT31" i="33"/>
  <c r="CU31" i="33"/>
  <c r="CV31" i="33"/>
  <c r="CW31" i="33"/>
  <c r="CX31" i="33"/>
  <c r="CY31" i="33"/>
  <c r="CZ31" i="33"/>
  <c r="DA31" i="33"/>
  <c r="DB31" i="33"/>
  <c r="DC31" i="33"/>
  <c r="DD31" i="33"/>
  <c r="DE31" i="33"/>
  <c r="DF31" i="33"/>
  <c r="DG31" i="33"/>
  <c r="DH31" i="33"/>
  <c r="DI31" i="33"/>
  <c r="DJ31" i="33"/>
  <c r="DK31" i="33"/>
  <c r="DL31" i="33"/>
  <c r="DM31" i="33"/>
  <c r="DN31" i="33"/>
  <c r="DO31" i="33"/>
  <c r="DP31" i="33"/>
  <c r="DQ31" i="33"/>
  <c r="DR31" i="33"/>
  <c r="DS31" i="33"/>
  <c r="DT31" i="33"/>
  <c r="DU31" i="33"/>
  <c r="DV31" i="33"/>
  <c r="DW31" i="33"/>
  <c r="DX31" i="33"/>
  <c r="DY31" i="33"/>
  <c r="DZ31" i="33"/>
  <c r="EA31" i="33"/>
  <c r="EB31" i="33"/>
  <c r="EC31" i="33"/>
  <c r="ED31" i="33"/>
  <c r="EE31" i="33"/>
  <c r="EF31" i="33"/>
  <c r="EG31" i="33"/>
  <c r="EH31" i="33"/>
  <c r="EI31" i="33"/>
  <c r="EJ31" i="33"/>
  <c r="EK31" i="33"/>
  <c r="EL31" i="33"/>
  <c r="EM31" i="33"/>
  <c r="EN31" i="33"/>
  <c r="EO31" i="33"/>
  <c r="EP31" i="33"/>
  <c r="EQ31" i="33"/>
  <c r="ER31" i="33"/>
  <c r="ES31" i="33"/>
  <c r="ET31" i="33"/>
  <c r="EU31" i="33"/>
  <c r="EV31" i="33"/>
  <c r="EW31" i="33"/>
  <c r="EX31" i="33"/>
  <c r="EY31" i="33"/>
  <c r="EZ31" i="33"/>
  <c r="FA31" i="33"/>
  <c r="FB31" i="33"/>
  <c r="FC31" i="33"/>
  <c r="FD31" i="33"/>
  <c r="FE31" i="33"/>
  <c r="FF31" i="33"/>
  <c r="FG31" i="33"/>
  <c r="FH31" i="33"/>
  <c r="FI31" i="33"/>
  <c r="FJ31" i="33"/>
  <c r="FK31" i="33"/>
  <c r="FL31" i="33"/>
  <c r="FM31" i="33"/>
  <c r="FN31" i="33"/>
  <c r="FO31" i="33"/>
  <c r="FP31" i="33"/>
  <c r="FQ31" i="33"/>
  <c r="FR31" i="33"/>
  <c r="FS31" i="33"/>
  <c r="FT31" i="33"/>
  <c r="FU31" i="33"/>
  <c r="FV31" i="33"/>
  <c r="FW31" i="33"/>
  <c r="FX31" i="33"/>
  <c r="FY31" i="33"/>
  <c r="FZ31" i="33"/>
  <c r="GA31" i="33"/>
  <c r="GB31" i="33"/>
  <c r="GC31" i="33"/>
  <c r="GD31" i="33"/>
  <c r="GE31" i="33"/>
  <c r="GF31" i="33"/>
  <c r="GG31" i="33"/>
  <c r="GH31" i="33"/>
  <c r="GI31" i="33"/>
  <c r="GJ31" i="33"/>
  <c r="GK31" i="33"/>
  <c r="GL31" i="33"/>
  <c r="GM31" i="33"/>
  <c r="GN31" i="33"/>
  <c r="GO31" i="33"/>
  <c r="GP31" i="33"/>
  <c r="GQ31" i="33"/>
  <c r="GR31" i="33"/>
  <c r="GS31" i="33"/>
  <c r="GT31" i="33"/>
  <c r="GU31" i="33"/>
  <c r="GV31" i="33"/>
  <c r="GW31" i="33"/>
  <c r="GX31" i="33"/>
  <c r="GY31" i="33"/>
  <c r="GZ31" i="33"/>
  <c r="HA31" i="33"/>
  <c r="HB31" i="33"/>
  <c r="HC31" i="33"/>
  <c r="HD31" i="33"/>
  <c r="HE31" i="33"/>
  <c r="HF31" i="33"/>
  <c r="HG31" i="33"/>
  <c r="HH31" i="33"/>
  <c r="HI31" i="33"/>
  <c r="HJ31" i="33"/>
  <c r="HK31" i="33"/>
  <c r="HL31" i="33"/>
  <c r="HM31" i="33"/>
  <c r="HN31" i="33"/>
  <c r="HO31" i="33"/>
  <c r="HP31" i="33"/>
  <c r="HQ31" i="33"/>
  <c r="HR31" i="33"/>
  <c r="HS31" i="33"/>
  <c r="HT31" i="33"/>
  <c r="HU31" i="33"/>
  <c r="HV31" i="33"/>
  <c r="HW31" i="33"/>
  <c r="HX31" i="33"/>
  <c r="HY31" i="33"/>
  <c r="HZ31" i="33"/>
  <c r="IA31" i="33"/>
  <c r="IB31" i="33"/>
  <c r="IC31" i="33"/>
  <c r="ID31" i="33"/>
  <c r="IE31" i="33"/>
  <c r="IF31" i="33"/>
  <c r="IG31" i="33"/>
  <c r="IH31" i="33"/>
  <c r="II31" i="33"/>
  <c r="IJ31" i="33"/>
  <c r="IK31" i="33"/>
  <c r="IL31" i="33"/>
  <c r="IM31" i="33"/>
  <c r="IN31" i="33"/>
  <c r="IO31" i="33"/>
  <c r="IP31" i="33"/>
  <c r="IQ31" i="33"/>
  <c r="IR31" i="33"/>
  <c r="IS31" i="33"/>
  <c r="IT31" i="33"/>
  <c r="IU31" i="33"/>
  <c r="IV31" i="33"/>
  <c r="A30" i="33"/>
  <c r="B30" i="33"/>
  <c r="C30" i="33"/>
  <c r="D30" i="33"/>
  <c r="E30" i="33"/>
  <c r="F30" i="33"/>
  <c r="G30" i="33"/>
  <c r="H30" i="33"/>
  <c r="I30" i="33"/>
  <c r="J30" i="33"/>
  <c r="K30" i="33"/>
  <c r="L30" i="33"/>
  <c r="M30" i="33"/>
  <c r="N30" i="33"/>
  <c r="O30" i="33"/>
  <c r="P30" i="33"/>
  <c r="Q30" i="33"/>
  <c r="R30" i="33"/>
  <c r="S30" i="33"/>
  <c r="T30" i="33"/>
  <c r="U30" i="33"/>
  <c r="V30" i="33"/>
  <c r="W30" i="33"/>
  <c r="X30" i="33"/>
  <c r="Y30" i="33"/>
  <c r="Z30" i="33"/>
  <c r="AA30" i="33"/>
  <c r="AB30" i="33"/>
  <c r="AC30" i="33"/>
  <c r="AD30" i="33"/>
  <c r="AE30" i="33"/>
  <c r="AF30" i="33"/>
  <c r="AG30" i="33"/>
  <c r="AH30" i="33"/>
  <c r="AI30" i="33"/>
  <c r="AJ30" i="33"/>
  <c r="AK30" i="33"/>
  <c r="AL30" i="33"/>
  <c r="AM30" i="33"/>
  <c r="AN30" i="33"/>
  <c r="AO30" i="33"/>
  <c r="AP30" i="33"/>
  <c r="AQ30" i="33"/>
  <c r="AR30" i="33"/>
  <c r="AS30" i="33"/>
  <c r="AT30" i="33"/>
  <c r="AU30" i="33"/>
  <c r="AV30" i="33"/>
  <c r="AW30" i="33"/>
  <c r="AX30" i="33"/>
  <c r="AY30" i="33"/>
  <c r="AZ30" i="33"/>
  <c r="BA30" i="33"/>
  <c r="BB30" i="33"/>
  <c r="BC30" i="33"/>
  <c r="BD30" i="33"/>
  <c r="BE30" i="33"/>
  <c r="BF30" i="33"/>
  <c r="BG30" i="33"/>
  <c r="BH30" i="33"/>
  <c r="BI30" i="33"/>
  <c r="BJ30" i="33"/>
  <c r="BK30" i="33"/>
  <c r="BL30" i="33"/>
  <c r="BM30" i="33"/>
  <c r="BN30" i="33"/>
  <c r="BO30" i="33"/>
  <c r="BP30" i="33"/>
  <c r="BQ30" i="33"/>
  <c r="BR30" i="33"/>
  <c r="BS30" i="33"/>
  <c r="BT30" i="33"/>
  <c r="BU30" i="33"/>
  <c r="BV30" i="33"/>
  <c r="BW30" i="33"/>
  <c r="BX30" i="33"/>
  <c r="BY30" i="33"/>
  <c r="BZ30" i="33"/>
  <c r="CA30" i="33"/>
  <c r="CB30" i="33"/>
  <c r="CC30" i="33"/>
  <c r="CD30" i="33"/>
  <c r="CE30" i="33"/>
  <c r="CF30" i="33"/>
  <c r="CG30" i="33"/>
  <c r="CH30" i="33"/>
  <c r="CI30" i="33"/>
  <c r="CJ30" i="33"/>
  <c r="CK30" i="33"/>
  <c r="CL30" i="33"/>
  <c r="CM30" i="33"/>
  <c r="CN30" i="33"/>
  <c r="CO30" i="33"/>
  <c r="CP30" i="33"/>
  <c r="CQ30" i="33"/>
  <c r="CR30" i="33"/>
  <c r="CS30" i="33"/>
  <c r="CT30" i="33"/>
  <c r="CU30" i="33"/>
  <c r="CV30" i="33"/>
  <c r="CW30" i="33"/>
  <c r="CX30" i="33"/>
  <c r="CY30" i="33"/>
  <c r="CZ30" i="33"/>
  <c r="DA30" i="33"/>
  <c r="DB30" i="33"/>
  <c r="DC30" i="33"/>
  <c r="DD30" i="33"/>
  <c r="DE30" i="33"/>
  <c r="DF30" i="33"/>
  <c r="DG30" i="33"/>
  <c r="DH30" i="33"/>
  <c r="DI30" i="33"/>
  <c r="DJ30" i="33"/>
  <c r="DK30" i="33"/>
  <c r="DL30" i="33"/>
  <c r="DM30" i="33"/>
  <c r="DN30" i="33"/>
  <c r="DO30" i="33"/>
  <c r="DP30" i="33"/>
  <c r="DQ30" i="33"/>
  <c r="DR30" i="33"/>
  <c r="DS30" i="33"/>
  <c r="DT30" i="33"/>
  <c r="DU30" i="33"/>
  <c r="DV30" i="33"/>
  <c r="DW30" i="33"/>
  <c r="DX30" i="33"/>
  <c r="DY30" i="33"/>
  <c r="DZ30" i="33"/>
  <c r="EA30" i="33"/>
  <c r="EB30" i="33"/>
  <c r="EC30" i="33"/>
  <c r="ED30" i="33"/>
  <c r="EE30" i="33"/>
  <c r="EF30" i="33"/>
  <c r="EG30" i="33"/>
  <c r="EH30" i="33"/>
  <c r="EI30" i="33"/>
  <c r="EJ30" i="33"/>
  <c r="EK30" i="33"/>
  <c r="EL30" i="33"/>
  <c r="EM30" i="33"/>
  <c r="EN30" i="33"/>
  <c r="EO30" i="33"/>
  <c r="EP30" i="33"/>
  <c r="EQ30" i="33"/>
  <c r="ER30" i="33"/>
  <c r="ES30" i="33"/>
  <c r="ET30" i="33"/>
  <c r="EU30" i="33"/>
  <c r="EV30" i="33"/>
  <c r="EW30" i="33"/>
  <c r="EX30" i="33"/>
  <c r="EY30" i="33"/>
  <c r="EZ30" i="33"/>
  <c r="FA30" i="33"/>
  <c r="FB30" i="33"/>
  <c r="FC30" i="33"/>
  <c r="FD30" i="33"/>
  <c r="FE30" i="33"/>
  <c r="FF30" i="33"/>
  <c r="FG30" i="33"/>
  <c r="FH30" i="33"/>
  <c r="FI30" i="33"/>
  <c r="FJ30" i="33"/>
  <c r="FK30" i="33"/>
  <c r="FL30" i="33"/>
  <c r="FM30" i="33"/>
  <c r="FN30" i="33"/>
  <c r="FO30" i="33"/>
  <c r="FP30" i="33"/>
  <c r="FQ30" i="33"/>
  <c r="FR30" i="33"/>
  <c r="FS30" i="33"/>
  <c r="FT30" i="33"/>
  <c r="FU30" i="33"/>
  <c r="FV30" i="33"/>
  <c r="FW30" i="33"/>
  <c r="FX30" i="33"/>
  <c r="FY30" i="33"/>
  <c r="FZ30" i="33"/>
  <c r="GA30" i="33"/>
  <c r="GB30" i="33"/>
  <c r="GC30" i="33"/>
  <c r="GD30" i="33"/>
  <c r="GE30" i="33"/>
  <c r="GF30" i="33"/>
  <c r="GG30" i="33"/>
  <c r="GH30" i="33"/>
  <c r="GI30" i="33"/>
  <c r="GJ30" i="33"/>
  <c r="GK30" i="33"/>
  <c r="GL30" i="33"/>
  <c r="GM30" i="33"/>
  <c r="GN30" i="33"/>
  <c r="GO30" i="33"/>
  <c r="GP30" i="33"/>
  <c r="GQ30" i="33"/>
  <c r="GR30" i="33"/>
  <c r="GS30" i="33"/>
  <c r="GT30" i="33"/>
  <c r="GU30" i="33"/>
  <c r="GV30" i="33"/>
  <c r="GW30" i="33"/>
  <c r="GX30" i="33"/>
  <c r="GY30" i="33"/>
  <c r="GZ30" i="33"/>
  <c r="HA30" i="33"/>
  <c r="HB30" i="33"/>
  <c r="HC30" i="33"/>
  <c r="HD30" i="33"/>
  <c r="HE30" i="33"/>
  <c r="HF30" i="33"/>
  <c r="HG30" i="33"/>
  <c r="HH30" i="33"/>
  <c r="HI30" i="33"/>
  <c r="HJ30" i="33"/>
  <c r="HK30" i="33"/>
  <c r="HL30" i="33"/>
  <c r="HM30" i="33"/>
  <c r="HN30" i="33"/>
  <c r="HO30" i="33"/>
  <c r="HP30" i="33"/>
  <c r="HQ30" i="33"/>
  <c r="HR30" i="33"/>
  <c r="HS30" i="33"/>
  <c r="HT30" i="33"/>
  <c r="HU30" i="33"/>
  <c r="HV30" i="33"/>
  <c r="HW30" i="33"/>
  <c r="HX30" i="33"/>
  <c r="HY30" i="33"/>
  <c r="HZ30" i="33"/>
  <c r="IA30" i="33"/>
  <c r="IB30" i="33"/>
  <c r="IC30" i="33"/>
  <c r="ID30" i="33"/>
  <c r="IE30" i="33"/>
  <c r="IF30" i="33"/>
  <c r="IG30" i="33"/>
  <c r="IH30" i="33"/>
  <c r="II30" i="33"/>
  <c r="IJ30" i="33"/>
  <c r="IK30" i="33"/>
  <c r="IL30" i="33"/>
  <c r="IM30" i="33"/>
  <c r="IN30" i="33"/>
  <c r="IO30" i="33"/>
  <c r="IP30" i="33"/>
  <c r="IQ30" i="33"/>
  <c r="IR30" i="33"/>
  <c r="IS30" i="33"/>
  <c r="IT30" i="33"/>
  <c r="IU30" i="33"/>
  <c r="IV30" i="33"/>
  <c r="A29" i="33"/>
  <c r="B29" i="33"/>
  <c r="C29" i="33"/>
  <c r="D29" i="33"/>
  <c r="E29" i="33"/>
  <c r="F29" i="33"/>
  <c r="G29" i="33"/>
  <c r="H29" i="33"/>
  <c r="I29" i="33"/>
  <c r="J29" i="33"/>
  <c r="K29" i="33"/>
  <c r="L29" i="33"/>
  <c r="M29" i="33"/>
  <c r="N29" i="33"/>
  <c r="O29" i="33"/>
  <c r="P29" i="33"/>
  <c r="Q29" i="33"/>
  <c r="R29" i="33"/>
  <c r="S29" i="33"/>
  <c r="T29" i="33"/>
  <c r="U29" i="33"/>
  <c r="V29" i="33"/>
  <c r="W29" i="33"/>
  <c r="X29" i="33"/>
  <c r="Y29" i="33"/>
  <c r="Z29" i="33"/>
  <c r="AA29" i="33"/>
  <c r="AB29" i="33"/>
  <c r="AC29" i="33"/>
  <c r="AD29" i="33"/>
  <c r="AE29" i="33"/>
  <c r="AF29" i="33"/>
  <c r="AG29" i="33"/>
  <c r="AH29" i="33"/>
  <c r="AI29" i="33"/>
  <c r="AJ29" i="33"/>
  <c r="AK29" i="33"/>
  <c r="AL29" i="33"/>
  <c r="AM29" i="33"/>
  <c r="AN29" i="33"/>
  <c r="AO29" i="33"/>
  <c r="AP29" i="33"/>
  <c r="AQ29" i="33"/>
  <c r="AR29" i="33"/>
  <c r="AS29" i="33"/>
  <c r="AT29" i="33"/>
  <c r="AU29" i="33"/>
  <c r="AV29" i="33"/>
  <c r="AW29" i="33"/>
  <c r="AX29" i="33"/>
  <c r="AY29" i="33"/>
  <c r="AZ29" i="33"/>
  <c r="BA29" i="33"/>
  <c r="BB29" i="33"/>
  <c r="BC29" i="33"/>
  <c r="BD29" i="33"/>
  <c r="BE29" i="33"/>
  <c r="BF29" i="33"/>
  <c r="BG29" i="33"/>
  <c r="BH29" i="33"/>
  <c r="BI29" i="33"/>
  <c r="BJ29" i="33"/>
  <c r="BK29" i="33"/>
  <c r="BL29" i="33"/>
  <c r="BM29" i="33"/>
  <c r="BN29" i="33"/>
  <c r="BO29" i="33"/>
  <c r="BP29" i="33"/>
  <c r="BQ29" i="33"/>
  <c r="BR29" i="33"/>
  <c r="BS29" i="33"/>
  <c r="BT29" i="33"/>
  <c r="BU29" i="33"/>
  <c r="BV29" i="33"/>
  <c r="BW29" i="33"/>
  <c r="BX29" i="33"/>
  <c r="BY29" i="33"/>
  <c r="BZ29" i="33"/>
  <c r="CA29" i="33"/>
  <c r="CB29" i="33"/>
  <c r="CC29" i="33"/>
  <c r="CD29" i="33"/>
  <c r="CE29" i="33"/>
  <c r="CF29" i="33"/>
  <c r="CG29" i="33"/>
  <c r="CH29" i="33"/>
  <c r="CI29" i="33"/>
  <c r="CJ29" i="33"/>
  <c r="CK29" i="33"/>
  <c r="CL29" i="33"/>
  <c r="CM29" i="33"/>
  <c r="CN29" i="33"/>
  <c r="CO29" i="33"/>
  <c r="CP29" i="33"/>
  <c r="CQ29" i="33"/>
  <c r="CR29" i="33"/>
  <c r="CS29" i="33"/>
  <c r="CT29" i="33"/>
  <c r="CU29" i="33"/>
  <c r="CV29" i="33"/>
  <c r="CW29" i="33"/>
  <c r="CX29" i="33"/>
  <c r="CY29" i="33"/>
  <c r="CZ29" i="33"/>
  <c r="DA29" i="33"/>
  <c r="DB29" i="33"/>
  <c r="DC29" i="33"/>
  <c r="DD29" i="33"/>
  <c r="DE29" i="33"/>
  <c r="DF29" i="33"/>
  <c r="DG29" i="33"/>
  <c r="DH29" i="33"/>
  <c r="DI29" i="33"/>
  <c r="DJ29" i="33"/>
  <c r="DK29" i="33"/>
  <c r="DL29" i="33"/>
  <c r="DM29" i="33"/>
  <c r="DN29" i="33"/>
  <c r="DO29" i="33"/>
  <c r="DP29" i="33"/>
  <c r="DQ29" i="33"/>
  <c r="DR29" i="33"/>
  <c r="DS29" i="33"/>
  <c r="DT29" i="33"/>
  <c r="DU29" i="33"/>
  <c r="DV29" i="33"/>
  <c r="DW29" i="33"/>
  <c r="DX29" i="33"/>
  <c r="DY29" i="33"/>
  <c r="DZ29" i="33"/>
  <c r="EA29" i="33"/>
  <c r="EB29" i="33"/>
  <c r="EC29" i="33"/>
  <c r="ED29" i="33"/>
  <c r="EE29" i="33"/>
  <c r="EF29" i="33"/>
  <c r="EG29" i="33"/>
  <c r="EH29" i="33"/>
  <c r="EI29" i="33"/>
  <c r="EJ29" i="33"/>
  <c r="EK29" i="33"/>
  <c r="EL29" i="33"/>
  <c r="EM29" i="33"/>
  <c r="EN29" i="33"/>
  <c r="EO29" i="33"/>
  <c r="EP29" i="33"/>
  <c r="EQ29" i="33"/>
  <c r="ER29" i="33"/>
  <c r="ES29" i="33"/>
  <c r="ET29" i="33"/>
  <c r="EU29" i="33"/>
  <c r="EV29" i="33"/>
  <c r="EW29" i="33"/>
  <c r="EX29" i="33"/>
  <c r="EY29" i="33"/>
  <c r="EZ29" i="33"/>
  <c r="FA29" i="33"/>
  <c r="FB29" i="33"/>
  <c r="FC29" i="33"/>
  <c r="FD29" i="33"/>
  <c r="FE29" i="33"/>
  <c r="FF29" i="33"/>
  <c r="FG29" i="33"/>
  <c r="FH29" i="33"/>
  <c r="FI29" i="33"/>
  <c r="FJ29" i="33"/>
  <c r="FK29" i="33"/>
  <c r="FL29" i="33"/>
  <c r="FM29" i="33"/>
  <c r="FN29" i="33"/>
  <c r="FO29" i="33"/>
  <c r="FP29" i="33"/>
  <c r="FQ29" i="33"/>
  <c r="FR29" i="33"/>
  <c r="FS29" i="33"/>
  <c r="FT29" i="33"/>
  <c r="FU29" i="33"/>
  <c r="FV29" i="33"/>
  <c r="FW29" i="33"/>
  <c r="FX29" i="33"/>
  <c r="FY29" i="33"/>
  <c r="FZ29" i="33"/>
  <c r="GA29" i="33"/>
  <c r="GB29" i="33"/>
  <c r="GC29" i="33"/>
  <c r="GD29" i="33"/>
  <c r="GE29" i="33"/>
  <c r="GF29" i="33"/>
  <c r="GG29" i="33"/>
  <c r="GH29" i="33"/>
  <c r="GI29" i="33"/>
  <c r="GJ29" i="33"/>
  <c r="GK29" i="33"/>
  <c r="GL29" i="33"/>
  <c r="GM29" i="33"/>
  <c r="GN29" i="33"/>
  <c r="GO29" i="33"/>
  <c r="GP29" i="33"/>
  <c r="GQ29" i="33"/>
  <c r="GR29" i="33"/>
  <c r="GS29" i="33"/>
  <c r="GT29" i="33"/>
  <c r="GU29" i="33"/>
  <c r="GV29" i="33"/>
  <c r="GW29" i="33"/>
  <c r="GX29" i="33"/>
  <c r="GY29" i="33"/>
  <c r="GZ29" i="33"/>
  <c r="HA29" i="33"/>
  <c r="HB29" i="33"/>
  <c r="HC29" i="33"/>
  <c r="HD29" i="33"/>
  <c r="HE29" i="33"/>
  <c r="HF29" i="33"/>
  <c r="HG29" i="33"/>
  <c r="HH29" i="33"/>
  <c r="HI29" i="33"/>
  <c r="HJ29" i="33"/>
  <c r="HK29" i="33"/>
  <c r="HL29" i="33"/>
  <c r="HM29" i="33"/>
  <c r="HN29" i="33"/>
  <c r="HO29" i="33"/>
  <c r="HP29" i="33"/>
  <c r="HQ29" i="33"/>
  <c r="HR29" i="33"/>
  <c r="HS29" i="33"/>
  <c r="HT29" i="33"/>
  <c r="HU29" i="33"/>
  <c r="HV29" i="33"/>
  <c r="HW29" i="33"/>
  <c r="HX29" i="33"/>
  <c r="HY29" i="33"/>
  <c r="HZ29" i="33"/>
  <c r="IA29" i="33"/>
  <c r="IB29" i="33"/>
  <c r="IC29" i="33"/>
  <c r="ID29" i="33"/>
  <c r="IE29" i="33"/>
  <c r="IF29" i="33"/>
  <c r="IG29" i="33"/>
  <c r="IH29" i="33"/>
  <c r="II29" i="33"/>
  <c r="IJ29" i="33"/>
  <c r="IK29" i="33"/>
  <c r="IL29" i="33"/>
  <c r="IM29" i="33"/>
  <c r="IN29" i="33"/>
  <c r="IO29" i="33"/>
  <c r="IP29" i="33"/>
  <c r="IQ29" i="33"/>
  <c r="IR29" i="33"/>
  <c r="IS29" i="33"/>
  <c r="IT29" i="33"/>
  <c r="IU29" i="33"/>
  <c r="IV29" i="33"/>
  <c r="A28" i="33"/>
  <c r="B28" i="33"/>
  <c r="C28" i="33"/>
  <c r="D28" i="33"/>
  <c r="E28" i="33"/>
  <c r="G28" i="33"/>
  <c r="H28" i="33"/>
  <c r="I28" i="33"/>
  <c r="J28" i="33"/>
  <c r="K28" i="33"/>
  <c r="L28" i="33"/>
  <c r="M28" i="33"/>
  <c r="N28" i="33"/>
  <c r="O28" i="33"/>
  <c r="P28" i="33"/>
  <c r="Q28" i="33"/>
  <c r="R28" i="33"/>
  <c r="S28" i="33"/>
  <c r="T28" i="33"/>
  <c r="U28" i="33"/>
  <c r="V28" i="33"/>
  <c r="W28" i="33"/>
  <c r="X28" i="33"/>
  <c r="Y28" i="33"/>
  <c r="Z28" i="33"/>
  <c r="AA28" i="33"/>
  <c r="AB28" i="33"/>
  <c r="AC28" i="33"/>
  <c r="AD28" i="33"/>
  <c r="AE28" i="33"/>
  <c r="AF28" i="33"/>
  <c r="AG28" i="33"/>
  <c r="AH28" i="33"/>
  <c r="AI28" i="33"/>
  <c r="AJ28" i="33"/>
  <c r="AK28" i="33"/>
  <c r="AL28" i="33"/>
  <c r="AM28" i="33"/>
  <c r="AN28" i="33"/>
  <c r="AO28" i="33"/>
  <c r="AP28" i="33"/>
  <c r="AQ28" i="33"/>
  <c r="AR28" i="33"/>
  <c r="AS28" i="33"/>
  <c r="AT28" i="33"/>
  <c r="AU28" i="33"/>
  <c r="AV28" i="33"/>
  <c r="AW28" i="33"/>
  <c r="AX28" i="33"/>
  <c r="AY28" i="33"/>
  <c r="AZ28" i="33"/>
  <c r="BA28" i="33"/>
  <c r="BB28" i="33"/>
  <c r="BC28" i="33"/>
  <c r="BD28" i="33"/>
  <c r="BE28" i="33"/>
  <c r="BF28" i="33"/>
  <c r="BG28" i="33"/>
  <c r="BH28" i="33"/>
  <c r="BI28" i="33"/>
  <c r="BJ28" i="33"/>
  <c r="BK28" i="33"/>
  <c r="BL28" i="33"/>
  <c r="BM28" i="33"/>
  <c r="BN28" i="33"/>
  <c r="BO28" i="33"/>
  <c r="BP28" i="33"/>
  <c r="BQ28" i="33"/>
  <c r="BR28" i="33"/>
  <c r="BS28" i="33"/>
  <c r="BT28" i="33"/>
  <c r="BU28" i="33"/>
  <c r="BV28" i="33"/>
  <c r="BW28" i="33"/>
  <c r="BX28" i="33"/>
  <c r="BY28" i="33"/>
  <c r="BZ28" i="33"/>
  <c r="CA28" i="33"/>
  <c r="CB28" i="33"/>
  <c r="CC28" i="33"/>
  <c r="CD28" i="33"/>
  <c r="CE28" i="33"/>
  <c r="CF28" i="33"/>
  <c r="CG28" i="33"/>
  <c r="CH28" i="33"/>
  <c r="CI28" i="33"/>
  <c r="CJ28" i="33"/>
  <c r="CK28" i="33"/>
  <c r="CL28" i="33"/>
  <c r="CM28" i="33"/>
  <c r="CN28" i="33"/>
  <c r="CO28" i="33"/>
  <c r="CP28" i="33"/>
  <c r="CQ28" i="33"/>
  <c r="CR28" i="33"/>
  <c r="CS28" i="33"/>
  <c r="CT28" i="33"/>
  <c r="CU28" i="33"/>
  <c r="CV28" i="33"/>
  <c r="CW28" i="33"/>
  <c r="CX28" i="33"/>
  <c r="CY28" i="33"/>
  <c r="CZ28" i="33"/>
  <c r="DA28" i="33"/>
  <c r="DB28" i="33"/>
  <c r="DC28" i="33"/>
  <c r="DD28" i="33"/>
  <c r="DE28" i="33"/>
  <c r="DF28" i="33"/>
  <c r="DG28" i="33"/>
  <c r="DH28" i="33"/>
  <c r="DI28" i="33"/>
  <c r="DJ28" i="33"/>
  <c r="DK28" i="33"/>
  <c r="DL28" i="33"/>
  <c r="DM28" i="33"/>
  <c r="DN28" i="33"/>
  <c r="DO28" i="33"/>
  <c r="DP28" i="33"/>
  <c r="DQ28" i="33"/>
  <c r="DR28" i="33"/>
  <c r="DS28" i="33"/>
  <c r="DT28" i="33"/>
  <c r="DU28" i="33"/>
  <c r="DV28" i="33"/>
  <c r="DW28" i="33"/>
  <c r="DX28" i="33"/>
  <c r="DY28" i="33"/>
  <c r="DZ28" i="33"/>
  <c r="EA28" i="33"/>
  <c r="EB28" i="33"/>
  <c r="EC28" i="33"/>
  <c r="ED28" i="33"/>
  <c r="EE28" i="33"/>
  <c r="EF28" i="33"/>
  <c r="EG28" i="33"/>
  <c r="EH28" i="33"/>
  <c r="EI28" i="33"/>
  <c r="EJ28" i="33"/>
  <c r="EK28" i="33"/>
  <c r="EL28" i="33"/>
  <c r="EM28" i="33"/>
  <c r="EN28" i="33"/>
  <c r="EO28" i="33"/>
  <c r="EP28" i="33"/>
  <c r="EQ28" i="33"/>
  <c r="ER28" i="33"/>
  <c r="ES28" i="33"/>
  <c r="ET28" i="33"/>
  <c r="EU28" i="33"/>
  <c r="EV28" i="33"/>
  <c r="EW28" i="33"/>
  <c r="EX28" i="33"/>
  <c r="EY28" i="33"/>
  <c r="EZ28" i="33"/>
  <c r="FA28" i="33"/>
  <c r="FB28" i="33"/>
  <c r="FC28" i="33"/>
  <c r="FD28" i="33"/>
  <c r="FE28" i="33"/>
  <c r="FF28" i="33"/>
  <c r="FG28" i="33"/>
  <c r="FH28" i="33"/>
  <c r="FI28" i="33"/>
  <c r="FJ28" i="33"/>
  <c r="FK28" i="33"/>
  <c r="FL28" i="33"/>
  <c r="FM28" i="33"/>
  <c r="FN28" i="33"/>
  <c r="FO28" i="33"/>
  <c r="FP28" i="33"/>
  <c r="FQ28" i="33"/>
  <c r="FR28" i="33"/>
  <c r="FS28" i="33"/>
  <c r="FT28" i="33"/>
  <c r="FU28" i="33"/>
  <c r="FV28" i="33"/>
  <c r="FW28" i="33"/>
  <c r="FX28" i="33"/>
  <c r="FY28" i="33"/>
  <c r="FZ28" i="33"/>
  <c r="GA28" i="33"/>
  <c r="GB28" i="33"/>
  <c r="GC28" i="33"/>
  <c r="GD28" i="33"/>
  <c r="GE28" i="33"/>
  <c r="GF28" i="33"/>
  <c r="GG28" i="33"/>
  <c r="GH28" i="33"/>
  <c r="GI28" i="33"/>
  <c r="GJ28" i="33"/>
  <c r="GK28" i="33"/>
  <c r="GL28" i="33"/>
  <c r="GM28" i="33"/>
  <c r="GN28" i="33"/>
  <c r="GO28" i="33"/>
  <c r="GP28" i="33"/>
  <c r="GQ28" i="33"/>
  <c r="GR28" i="33"/>
  <c r="GS28" i="33"/>
  <c r="GT28" i="33"/>
  <c r="GU28" i="33"/>
  <c r="GV28" i="33"/>
  <c r="GW28" i="33"/>
  <c r="GX28" i="33"/>
  <c r="GY28" i="33"/>
  <c r="GZ28" i="33"/>
  <c r="HA28" i="33"/>
  <c r="HB28" i="33"/>
  <c r="HC28" i="33"/>
  <c r="HD28" i="33"/>
  <c r="HE28" i="33"/>
  <c r="HF28" i="33"/>
  <c r="HG28" i="33"/>
  <c r="HH28" i="33"/>
  <c r="HI28" i="33"/>
  <c r="HJ28" i="33"/>
  <c r="HK28" i="33"/>
  <c r="HL28" i="33"/>
  <c r="HM28" i="33"/>
  <c r="HN28" i="33"/>
  <c r="HO28" i="33"/>
  <c r="HP28" i="33"/>
  <c r="HQ28" i="33"/>
  <c r="HR28" i="33"/>
  <c r="HS28" i="33"/>
  <c r="HT28" i="33"/>
  <c r="HU28" i="33"/>
  <c r="HV28" i="33"/>
  <c r="HW28" i="33"/>
  <c r="HX28" i="33"/>
  <c r="HY28" i="33"/>
  <c r="HZ28" i="33"/>
  <c r="IA28" i="33"/>
  <c r="IB28" i="33"/>
  <c r="IC28" i="33"/>
  <c r="ID28" i="33"/>
  <c r="IE28" i="33"/>
  <c r="IF28" i="33"/>
  <c r="IG28" i="33"/>
  <c r="IH28" i="33"/>
  <c r="II28" i="33"/>
  <c r="IJ28" i="33"/>
  <c r="IK28" i="33"/>
  <c r="IL28" i="33"/>
  <c r="IM28" i="33"/>
  <c r="IN28" i="33"/>
  <c r="IO28" i="33"/>
  <c r="IP28" i="33"/>
  <c r="IQ28" i="33"/>
  <c r="IR28" i="33"/>
  <c r="IS28" i="33"/>
  <c r="IT28" i="33"/>
  <c r="IU28" i="33"/>
  <c r="IV28" i="33"/>
  <c r="A27" i="33"/>
  <c r="B27" i="33"/>
  <c r="C27" i="33"/>
  <c r="D27" i="33"/>
  <c r="E27" i="33"/>
  <c r="F27" i="33"/>
  <c r="G27" i="33"/>
  <c r="H27" i="33"/>
  <c r="I27" i="33"/>
  <c r="J27" i="33"/>
  <c r="K27" i="33"/>
  <c r="L27" i="33"/>
  <c r="M27" i="33"/>
  <c r="N27" i="33"/>
  <c r="O27" i="33"/>
  <c r="P27" i="33"/>
  <c r="Q27" i="33"/>
  <c r="R27" i="33"/>
  <c r="S27" i="33"/>
  <c r="T27" i="33"/>
  <c r="U27" i="33"/>
  <c r="V27" i="33"/>
  <c r="W27" i="33"/>
  <c r="X27" i="33"/>
  <c r="Y27" i="33"/>
  <c r="Z27" i="33"/>
  <c r="AA27" i="33"/>
  <c r="AB27" i="33"/>
  <c r="AC27" i="33"/>
  <c r="AD27" i="33"/>
  <c r="AE27" i="33"/>
  <c r="AF27" i="33"/>
  <c r="AG27" i="33"/>
  <c r="AH27" i="33"/>
  <c r="AI27" i="33"/>
  <c r="AJ27" i="33"/>
  <c r="AK27" i="33"/>
  <c r="AL27" i="33"/>
  <c r="AM27" i="33"/>
  <c r="AN27" i="33"/>
  <c r="AO27" i="33"/>
  <c r="AP27" i="33"/>
  <c r="AQ27" i="33"/>
  <c r="AR27" i="33"/>
  <c r="AS27" i="33"/>
  <c r="AT27" i="33"/>
  <c r="AU27" i="33"/>
  <c r="AV27" i="33"/>
  <c r="AW27" i="33"/>
  <c r="AX27" i="33"/>
  <c r="AY27" i="33"/>
  <c r="AZ27" i="33"/>
  <c r="BA27" i="33"/>
  <c r="BB27" i="33"/>
  <c r="BC27" i="33"/>
  <c r="BD27" i="33"/>
  <c r="BE27" i="33"/>
  <c r="BF27" i="33"/>
  <c r="BG27" i="33"/>
  <c r="BH27" i="33"/>
  <c r="BI27" i="33"/>
  <c r="BJ27" i="33"/>
  <c r="BK27" i="33"/>
  <c r="BL27" i="33"/>
  <c r="BM27" i="33"/>
  <c r="BN27" i="33"/>
  <c r="BO27" i="33"/>
  <c r="BP27" i="33"/>
  <c r="BQ27" i="33"/>
  <c r="BR27" i="33"/>
  <c r="BS27" i="33"/>
  <c r="BT27" i="33"/>
  <c r="BU27" i="33"/>
  <c r="BV27" i="33"/>
  <c r="BW27" i="33"/>
  <c r="BX27" i="33"/>
  <c r="BY27" i="33"/>
  <c r="BZ27" i="33"/>
  <c r="CA27" i="33"/>
  <c r="CB27" i="33"/>
  <c r="CC27" i="33"/>
  <c r="CD27" i="33"/>
  <c r="CE27" i="33"/>
  <c r="CF27" i="33"/>
  <c r="CG27" i="33"/>
  <c r="CH27" i="33"/>
  <c r="CI27" i="33"/>
  <c r="CJ27" i="33"/>
  <c r="CK27" i="33"/>
  <c r="CL27" i="33"/>
  <c r="CM27" i="33"/>
  <c r="CN27" i="33"/>
  <c r="CO27" i="33"/>
  <c r="CP27" i="33"/>
  <c r="CQ27" i="33"/>
  <c r="CR27" i="33"/>
  <c r="CS27" i="33"/>
  <c r="CT27" i="33"/>
  <c r="CU27" i="33"/>
  <c r="CV27" i="33"/>
  <c r="CW27" i="33"/>
  <c r="CX27" i="33"/>
  <c r="CY27" i="33"/>
  <c r="CZ27" i="33"/>
  <c r="DA27" i="33"/>
  <c r="DB27" i="33"/>
  <c r="DC27" i="33"/>
  <c r="DD27" i="33"/>
  <c r="DE27" i="33"/>
  <c r="DF27" i="33"/>
  <c r="DG27" i="33"/>
  <c r="DH27" i="33"/>
  <c r="DI27" i="33"/>
  <c r="DJ27" i="33"/>
  <c r="DK27" i="33"/>
  <c r="DL27" i="33"/>
  <c r="DM27" i="33"/>
  <c r="DN27" i="33"/>
  <c r="DO27" i="33"/>
  <c r="DP27" i="33"/>
  <c r="DQ27" i="33"/>
  <c r="DR27" i="33"/>
  <c r="DS27" i="33"/>
  <c r="DT27" i="33"/>
  <c r="DU27" i="33"/>
  <c r="DV27" i="33"/>
  <c r="DW27" i="33"/>
  <c r="DX27" i="33"/>
  <c r="DY27" i="33"/>
  <c r="DZ27" i="33"/>
  <c r="EA27" i="33"/>
  <c r="EB27" i="33"/>
  <c r="EC27" i="33"/>
  <c r="ED27" i="33"/>
  <c r="EE27" i="33"/>
  <c r="EF27" i="33"/>
  <c r="EG27" i="33"/>
  <c r="EH27" i="33"/>
  <c r="EI27" i="33"/>
  <c r="EJ27" i="33"/>
  <c r="EK27" i="33"/>
  <c r="EL27" i="33"/>
  <c r="EM27" i="33"/>
  <c r="EN27" i="33"/>
  <c r="EO27" i="33"/>
  <c r="EP27" i="33"/>
  <c r="EQ27" i="33"/>
  <c r="ER27" i="33"/>
  <c r="ES27" i="33"/>
  <c r="ET27" i="33"/>
  <c r="EU27" i="33"/>
  <c r="EV27" i="33"/>
  <c r="EW27" i="33"/>
  <c r="EX27" i="33"/>
  <c r="EY27" i="33"/>
  <c r="EZ27" i="33"/>
  <c r="FA27" i="33"/>
  <c r="FB27" i="33"/>
  <c r="FC27" i="33"/>
  <c r="FD27" i="33"/>
  <c r="FE27" i="33"/>
  <c r="FF27" i="33"/>
  <c r="FG27" i="33"/>
  <c r="FH27" i="33"/>
  <c r="FI27" i="33"/>
  <c r="FJ27" i="33"/>
  <c r="FK27" i="33"/>
  <c r="FL27" i="33"/>
  <c r="FM27" i="33"/>
  <c r="FN27" i="33"/>
  <c r="FO27" i="33"/>
  <c r="FP27" i="33"/>
  <c r="FQ27" i="33"/>
  <c r="FR27" i="33"/>
  <c r="FS27" i="33"/>
  <c r="FT27" i="33"/>
  <c r="FU27" i="33"/>
  <c r="FV27" i="33"/>
  <c r="FW27" i="33"/>
  <c r="FX27" i="33"/>
  <c r="FY27" i="33"/>
  <c r="FZ27" i="33"/>
  <c r="GA27" i="33"/>
  <c r="GB27" i="33"/>
  <c r="GC27" i="33"/>
  <c r="GD27" i="33"/>
  <c r="GE27" i="33"/>
  <c r="GF27" i="33"/>
  <c r="GG27" i="33"/>
  <c r="GH27" i="33"/>
  <c r="GI27" i="33"/>
  <c r="GJ27" i="33"/>
  <c r="GK27" i="33"/>
  <c r="GL27" i="33"/>
  <c r="GM27" i="33"/>
  <c r="GN27" i="33"/>
  <c r="GO27" i="33"/>
  <c r="GP27" i="33"/>
  <c r="GQ27" i="33"/>
  <c r="GR27" i="33"/>
  <c r="GS27" i="33"/>
  <c r="GT27" i="33"/>
  <c r="GU27" i="33"/>
  <c r="GV27" i="33"/>
  <c r="GW27" i="33"/>
  <c r="GX27" i="33"/>
  <c r="GY27" i="33"/>
  <c r="GZ27" i="33"/>
  <c r="HA27" i="33"/>
  <c r="HB27" i="33"/>
  <c r="HC27" i="33"/>
  <c r="HD27" i="33"/>
  <c r="HE27" i="33"/>
  <c r="HF27" i="33"/>
  <c r="HG27" i="33"/>
  <c r="HH27" i="33"/>
  <c r="HI27" i="33"/>
  <c r="HJ27" i="33"/>
  <c r="HK27" i="33"/>
  <c r="HL27" i="33"/>
  <c r="HM27" i="33"/>
  <c r="HN27" i="33"/>
  <c r="HO27" i="33"/>
  <c r="HP27" i="33"/>
  <c r="HQ27" i="33"/>
  <c r="HR27" i="33"/>
  <c r="HS27" i="33"/>
  <c r="HT27" i="33"/>
  <c r="HU27" i="33"/>
  <c r="HV27" i="33"/>
  <c r="HW27" i="33"/>
  <c r="HX27" i="33"/>
  <c r="HY27" i="33"/>
  <c r="HZ27" i="33"/>
  <c r="IA27" i="33"/>
  <c r="IB27" i="33"/>
  <c r="IC27" i="33"/>
  <c r="ID27" i="33"/>
  <c r="IE27" i="33"/>
  <c r="IF27" i="33"/>
  <c r="IG27" i="33"/>
  <c r="IH27" i="33"/>
  <c r="II27" i="33"/>
  <c r="IJ27" i="33"/>
  <c r="IK27" i="33"/>
  <c r="IL27" i="33"/>
  <c r="IM27" i="33"/>
  <c r="IN27" i="33"/>
  <c r="IO27" i="33"/>
  <c r="IP27" i="33"/>
  <c r="IQ27" i="33"/>
  <c r="IR27" i="33"/>
  <c r="IS27" i="33"/>
  <c r="IT27" i="33"/>
  <c r="IU27" i="33"/>
  <c r="IV27" i="33"/>
  <c r="A26" i="33"/>
  <c r="B26" i="33"/>
  <c r="C26" i="33"/>
  <c r="D26" i="33"/>
  <c r="E26" i="33"/>
  <c r="F26" i="33"/>
  <c r="G26" i="33"/>
  <c r="H26" i="33"/>
  <c r="I26" i="33"/>
  <c r="J26" i="33"/>
  <c r="K26" i="33"/>
  <c r="L26" i="33"/>
  <c r="M26" i="33"/>
  <c r="N26" i="33"/>
  <c r="O26" i="33"/>
  <c r="P26" i="33"/>
  <c r="Q26" i="33"/>
  <c r="R26" i="33"/>
  <c r="S26" i="33"/>
  <c r="T26" i="33"/>
  <c r="U26" i="33"/>
  <c r="V26" i="33"/>
  <c r="W26" i="33"/>
  <c r="X26" i="33"/>
  <c r="Y26" i="33"/>
  <c r="Z26" i="33"/>
  <c r="AA26" i="33"/>
  <c r="AB26" i="33"/>
  <c r="AC26" i="33"/>
  <c r="AD26" i="33"/>
  <c r="AE26" i="33"/>
  <c r="AF26" i="33"/>
  <c r="AG26" i="33"/>
  <c r="AH26" i="33"/>
  <c r="AI26" i="33"/>
  <c r="AJ26" i="33"/>
  <c r="AK26" i="33"/>
  <c r="AL26" i="33"/>
  <c r="AM26" i="33"/>
  <c r="AN26" i="33"/>
  <c r="AO26" i="33"/>
  <c r="AP26" i="33"/>
  <c r="AQ26" i="33"/>
  <c r="AR26" i="33"/>
  <c r="AS26" i="33"/>
  <c r="AT26" i="33"/>
  <c r="AU26" i="33"/>
  <c r="AV26" i="33"/>
  <c r="AW26" i="33"/>
  <c r="AX26" i="33"/>
  <c r="AY26" i="33"/>
  <c r="AZ26" i="33"/>
  <c r="BA26" i="33"/>
  <c r="BB26" i="33"/>
  <c r="BC26" i="33"/>
  <c r="BD26" i="33"/>
  <c r="BE26" i="33"/>
  <c r="BF26" i="33"/>
  <c r="BG26" i="33"/>
  <c r="BH26" i="33"/>
  <c r="BI26" i="33"/>
  <c r="BJ26" i="33"/>
  <c r="BK26" i="33"/>
  <c r="BL26" i="33"/>
  <c r="BM26" i="33"/>
  <c r="BN26" i="33"/>
  <c r="BO26" i="33"/>
  <c r="BP26" i="33"/>
  <c r="BQ26" i="33"/>
  <c r="BR26" i="33"/>
  <c r="BS26" i="33"/>
  <c r="BT26" i="33"/>
  <c r="BU26" i="33"/>
  <c r="BV26" i="33"/>
  <c r="BW26" i="33"/>
  <c r="BX26" i="33"/>
  <c r="BY26" i="33"/>
  <c r="BZ26" i="33"/>
  <c r="CA26" i="33"/>
  <c r="CB26" i="33"/>
  <c r="CC26" i="33"/>
  <c r="CD26" i="33"/>
  <c r="CE26" i="33"/>
  <c r="CF26" i="33"/>
  <c r="CG26" i="33"/>
  <c r="CH26" i="33"/>
  <c r="CI26" i="33"/>
  <c r="CJ26" i="33"/>
  <c r="CK26" i="33"/>
  <c r="CL26" i="33"/>
  <c r="CM26" i="33"/>
  <c r="CN26" i="33"/>
  <c r="CO26" i="33"/>
  <c r="CP26" i="33"/>
  <c r="CQ26" i="33"/>
  <c r="CR26" i="33"/>
  <c r="CS26" i="33"/>
  <c r="CT26" i="33"/>
  <c r="CU26" i="33"/>
  <c r="CV26" i="33"/>
  <c r="CW26" i="33"/>
  <c r="CX26" i="33"/>
  <c r="CY26" i="33"/>
  <c r="CZ26" i="33"/>
  <c r="DA26" i="33"/>
  <c r="DB26" i="33"/>
  <c r="DC26" i="33"/>
  <c r="DD26" i="33"/>
  <c r="DE26" i="33"/>
  <c r="DF26" i="33"/>
  <c r="DG26" i="33"/>
  <c r="DH26" i="33"/>
  <c r="DI26" i="33"/>
  <c r="DJ26" i="33"/>
  <c r="DK26" i="33"/>
  <c r="DL26" i="33"/>
  <c r="DM26" i="33"/>
  <c r="DN26" i="33"/>
  <c r="DO26" i="33"/>
  <c r="DP26" i="33"/>
  <c r="DQ26" i="33"/>
  <c r="DR26" i="33"/>
  <c r="DS26" i="33"/>
  <c r="DT26" i="33"/>
  <c r="DU26" i="33"/>
  <c r="DV26" i="33"/>
  <c r="DW26" i="33"/>
  <c r="DX26" i="33"/>
  <c r="DY26" i="33"/>
  <c r="DZ26" i="33"/>
  <c r="EA26" i="33"/>
  <c r="EB26" i="33"/>
  <c r="EC26" i="33"/>
  <c r="ED26" i="33"/>
  <c r="EE26" i="33"/>
  <c r="EF26" i="33"/>
  <c r="EG26" i="33"/>
  <c r="EH26" i="33"/>
  <c r="EI26" i="33"/>
  <c r="EJ26" i="33"/>
  <c r="EK26" i="33"/>
  <c r="EL26" i="33"/>
  <c r="EM26" i="33"/>
  <c r="EN26" i="33"/>
  <c r="EO26" i="33"/>
  <c r="EP26" i="33"/>
  <c r="EQ26" i="33"/>
  <c r="ER26" i="33"/>
  <c r="ES26" i="33"/>
  <c r="ET26" i="33"/>
  <c r="EU26" i="33"/>
  <c r="EV26" i="33"/>
  <c r="EW26" i="33"/>
  <c r="EX26" i="33"/>
  <c r="EY26" i="33"/>
  <c r="EZ26" i="33"/>
  <c r="FA26" i="33"/>
  <c r="FB26" i="33"/>
  <c r="FC26" i="33"/>
  <c r="FD26" i="33"/>
  <c r="FE26" i="33"/>
  <c r="FF26" i="33"/>
  <c r="FG26" i="33"/>
  <c r="FH26" i="33"/>
  <c r="FI26" i="33"/>
  <c r="FJ26" i="33"/>
  <c r="FK26" i="33"/>
  <c r="FL26" i="33"/>
  <c r="FM26" i="33"/>
  <c r="FN26" i="33"/>
  <c r="FO26" i="33"/>
  <c r="FP26" i="33"/>
  <c r="FQ26" i="33"/>
  <c r="FR26" i="33"/>
  <c r="FS26" i="33"/>
  <c r="FT26" i="33"/>
  <c r="FU26" i="33"/>
  <c r="FV26" i="33"/>
  <c r="FW26" i="33"/>
  <c r="FX26" i="33"/>
  <c r="FY26" i="33"/>
  <c r="FZ26" i="33"/>
  <c r="GA26" i="33"/>
  <c r="GB26" i="33"/>
  <c r="GC26" i="33"/>
  <c r="GD26" i="33"/>
  <c r="GE26" i="33"/>
  <c r="GF26" i="33"/>
  <c r="GG26" i="33"/>
  <c r="GH26" i="33"/>
  <c r="GI26" i="33"/>
  <c r="GJ26" i="33"/>
  <c r="GK26" i="33"/>
  <c r="GL26" i="33"/>
  <c r="GM26" i="33"/>
  <c r="GN26" i="33"/>
  <c r="GO26" i="33"/>
  <c r="GP26" i="33"/>
  <c r="GQ26" i="33"/>
  <c r="GR26" i="33"/>
  <c r="GS26" i="33"/>
  <c r="GT26" i="33"/>
  <c r="GU26" i="33"/>
  <c r="GV26" i="33"/>
  <c r="GW26" i="33"/>
  <c r="GX26" i="33"/>
  <c r="GY26" i="33"/>
  <c r="GZ26" i="33"/>
  <c r="HA26" i="33"/>
  <c r="HB26" i="33"/>
  <c r="HC26" i="33"/>
  <c r="HD26" i="33"/>
  <c r="HE26" i="33"/>
  <c r="HF26" i="33"/>
  <c r="HG26" i="33"/>
  <c r="HH26" i="33"/>
  <c r="HI26" i="33"/>
  <c r="HJ26" i="33"/>
  <c r="HK26" i="33"/>
  <c r="HL26" i="33"/>
  <c r="HM26" i="33"/>
  <c r="HN26" i="33"/>
  <c r="HO26" i="33"/>
  <c r="HP26" i="33"/>
  <c r="HQ26" i="33"/>
  <c r="HR26" i="33"/>
  <c r="HS26" i="33"/>
  <c r="HT26" i="33"/>
  <c r="HU26" i="33"/>
  <c r="HV26" i="33"/>
  <c r="HW26" i="33"/>
  <c r="HX26" i="33"/>
  <c r="HY26" i="33"/>
  <c r="HZ26" i="33"/>
  <c r="IA26" i="33"/>
  <c r="IB26" i="33"/>
  <c r="IC26" i="33"/>
  <c r="ID26" i="33"/>
  <c r="IE26" i="33"/>
  <c r="IF26" i="33"/>
  <c r="IG26" i="33"/>
  <c r="IH26" i="33"/>
  <c r="II26" i="33"/>
  <c r="IJ26" i="33"/>
  <c r="IK26" i="33"/>
  <c r="IL26" i="33"/>
  <c r="IM26" i="33"/>
  <c r="IN26" i="33"/>
  <c r="IO26" i="33"/>
  <c r="IP26" i="33"/>
  <c r="IQ26" i="33"/>
  <c r="IR26" i="33"/>
  <c r="IS26" i="33"/>
  <c r="IT26" i="33"/>
  <c r="IU26" i="33"/>
  <c r="IV26" i="33"/>
  <c r="A25" i="33"/>
  <c r="B25" i="33"/>
  <c r="C25" i="33"/>
  <c r="D25" i="33"/>
  <c r="E25" i="33"/>
  <c r="F25" i="33"/>
  <c r="G25" i="33"/>
  <c r="H25" i="33"/>
  <c r="I25" i="33"/>
  <c r="J25" i="33"/>
  <c r="K25" i="33"/>
  <c r="L25" i="33"/>
  <c r="M25" i="33"/>
  <c r="N25" i="33"/>
  <c r="O25" i="33"/>
  <c r="P25" i="33"/>
  <c r="Q25" i="33"/>
  <c r="R25" i="33"/>
  <c r="S25" i="33"/>
  <c r="T25" i="33"/>
  <c r="U25" i="33"/>
  <c r="V25" i="33"/>
  <c r="W25" i="33"/>
  <c r="X25" i="33"/>
  <c r="Y25" i="33"/>
  <c r="Z25" i="33"/>
  <c r="AA25" i="33"/>
  <c r="AB25" i="33"/>
  <c r="AC25" i="33"/>
  <c r="AD25" i="33"/>
  <c r="AE25" i="33"/>
  <c r="AF25" i="33"/>
  <c r="AG25" i="33"/>
  <c r="AH25" i="33"/>
  <c r="AI25" i="33"/>
  <c r="AJ25" i="33"/>
  <c r="AK25" i="33"/>
  <c r="AL25" i="33"/>
  <c r="AM25" i="33"/>
  <c r="AN25" i="33"/>
  <c r="AO25" i="33"/>
  <c r="AP25" i="33"/>
  <c r="AQ25" i="33"/>
  <c r="AR25" i="33"/>
  <c r="AS25" i="33"/>
  <c r="AT25" i="33"/>
  <c r="AU25" i="33"/>
  <c r="AV25" i="33"/>
  <c r="AW25" i="33"/>
  <c r="AX25" i="33"/>
  <c r="AY25" i="33"/>
  <c r="AZ25" i="33"/>
  <c r="BA25" i="33"/>
  <c r="BB25" i="33"/>
  <c r="BC25" i="33"/>
  <c r="BD25" i="33"/>
  <c r="BE25" i="33"/>
  <c r="BF25" i="33"/>
  <c r="BG25" i="33"/>
  <c r="BH25" i="33"/>
  <c r="BI25" i="33"/>
  <c r="BJ25" i="33"/>
  <c r="BK25" i="33"/>
  <c r="BL25" i="33"/>
  <c r="BM25" i="33"/>
  <c r="BN25" i="33"/>
  <c r="BO25" i="33"/>
  <c r="BP25" i="33"/>
  <c r="BQ25" i="33"/>
  <c r="BR25" i="33"/>
  <c r="BS25" i="33"/>
  <c r="BT25" i="33"/>
  <c r="BU25" i="33"/>
  <c r="BV25" i="33"/>
  <c r="BW25" i="33"/>
  <c r="BX25" i="33"/>
  <c r="BY25" i="33"/>
  <c r="BZ25" i="33"/>
  <c r="CA25" i="33"/>
  <c r="CB25" i="33"/>
  <c r="CC25" i="33"/>
  <c r="CD25" i="33"/>
  <c r="CE25" i="33"/>
  <c r="CF25" i="33"/>
  <c r="CG25" i="33"/>
  <c r="CH25" i="33"/>
  <c r="CI25" i="33"/>
  <c r="CJ25" i="33"/>
  <c r="CK25" i="33"/>
  <c r="CL25" i="33"/>
  <c r="CM25" i="33"/>
  <c r="CN25" i="33"/>
  <c r="CO25" i="33"/>
  <c r="CP25" i="33"/>
  <c r="CQ25" i="33"/>
  <c r="CR25" i="33"/>
  <c r="CS25" i="33"/>
  <c r="CT25" i="33"/>
  <c r="CU25" i="33"/>
  <c r="CV25" i="33"/>
  <c r="CW25" i="33"/>
  <c r="CX25" i="33"/>
  <c r="CY25" i="33"/>
  <c r="CZ25" i="33"/>
  <c r="DA25" i="33"/>
  <c r="DB25" i="33"/>
  <c r="DC25" i="33"/>
  <c r="DD25" i="33"/>
  <c r="DE25" i="33"/>
  <c r="DF25" i="33"/>
  <c r="DG25" i="33"/>
  <c r="DH25" i="33"/>
  <c r="DI25" i="33"/>
  <c r="DJ25" i="33"/>
  <c r="DK25" i="33"/>
  <c r="DL25" i="33"/>
  <c r="DM25" i="33"/>
  <c r="DN25" i="33"/>
  <c r="DO25" i="33"/>
  <c r="DP25" i="33"/>
  <c r="DQ25" i="33"/>
  <c r="DR25" i="33"/>
  <c r="DS25" i="33"/>
  <c r="DT25" i="33"/>
  <c r="DU25" i="33"/>
  <c r="DV25" i="33"/>
  <c r="DW25" i="33"/>
  <c r="DX25" i="33"/>
  <c r="DY25" i="33"/>
  <c r="DZ25" i="33"/>
  <c r="EA25" i="33"/>
  <c r="EB25" i="33"/>
  <c r="EC25" i="33"/>
  <c r="ED25" i="33"/>
  <c r="EE25" i="33"/>
  <c r="EF25" i="33"/>
  <c r="EG25" i="33"/>
  <c r="EH25" i="33"/>
  <c r="EI25" i="33"/>
  <c r="EJ25" i="33"/>
  <c r="EK25" i="33"/>
  <c r="EL25" i="33"/>
  <c r="EM25" i="33"/>
  <c r="EN25" i="33"/>
  <c r="EO25" i="33"/>
  <c r="EP25" i="33"/>
  <c r="EQ25" i="33"/>
  <c r="ER25" i="33"/>
  <c r="ES25" i="33"/>
  <c r="ET25" i="33"/>
  <c r="EU25" i="33"/>
  <c r="EV25" i="33"/>
  <c r="EW25" i="33"/>
  <c r="EX25" i="33"/>
  <c r="EY25" i="33"/>
  <c r="EZ25" i="33"/>
  <c r="FA25" i="33"/>
  <c r="FB25" i="33"/>
  <c r="FC25" i="33"/>
  <c r="FD25" i="33"/>
  <c r="FE25" i="33"/>
  <c r="FF25" i="33"/>
  <c r="FG25" i="33"/>
  <c r="FH25" i="33"/>
  <c r="FI25" i="33"/>
  <c r="FJ25" i="33"/>
  <c r="FK25" i="33"/>
  <c r="FL25" i="33"/>
  <c r="FM25" i="33"/>
  <c r="FN25" i="33"/>
  <c r="FO25" i="33"/>
  <c r="FP25" i="33"/>
  <c r="FQ25" i="33"/>
  <c r="FR25" i="33"/>
  <c r="FS25" i="33"/>
  <c r="FT25" i="33"/>
  <c r="FU25" i="33"/>
  <c r="FV25" i="33"/>
  <c r="FW25" i="33"/>
  <c r="FX25" i="33"/>
  <c r="FY25" i="33"/>
  <c r="FZ25" i="33"/>
  <c r="GA25" i="33"/>
  <c r="GB25" i="33"/>
  <c r="GC25" i="33"/>
  <c r="GD25" i="33"/>
  <c r="GE25" i="33"/>
  <c r="GF25" i="33"/>
  <c r="GG25" i="33"/>
  <c r="GH25" i="33"/>
  <c r="GI25" i="33"/>
  <c r="GJ25" i="33"/>
  <c r="GK25" i="33"/>
  <c r="GL25" i="33"/>
  <c r="GM25" i="33"/>
  <c r="GN25" i="33"/>
  <c r="GO25" i="33"/>
  <c r="GP25" i="33"/>
  <c r="GQ25" i="33"/>
  <c r="GR25" i="33"/>
  <c r="GS25" i="33"/>
  <c r="GT25" i="33"/>
  <c r="GU25" i="33"/>
  <c r="GV25" i="33"/>
  <c r="GW25" i="33"/>
  <c r="GX25" i="33"/>
  <c r="GY25" i="33"/>
  <c r="GZ25" i="33"/>
  <c r="HA25" i="33"/>
  <c r="HB25" i="33"/>
  <c r="HC25" i="33"/>
  <c r="HD25" i="33"/>
  <c r="HE25" i="33"/>
  <c r="HF25" i="33"/>
  <c r="HG25" i="33"/>
  <c r="HH25" i="33"/>
  <c r="HI25" i="33"/>
  <c r="HJ25" i="33"/>
  <c r="HK25" i="33"/>
  <c r="HL25" i="33"/>
  <c r="HM25" i="33"/>
  <c r="HN25" i="33"/>
  <c r="HO25" i="33"/>
  <c r="HP25" i="33"/>
  <c r="HQ25" i="33"/>
  <c r="HR25" i="33"/>
  <c r="HS25" i="33"/>
  <c r="HT25" i="33"/>
  <c r="HU25" i="33"/>
  <c r="HV25" i="33"/>
  <c r="HW25" i="33"/>
  <c r="HX25" i="33"/>
  <c r="HY25" i="33"/>
  <c r="HZ25" i="33"/>
  <c r="IA25" i="33"/>
  <c r="IB25" i="33"/>
  <c r="IC25" i="33"/>
  <c r="ID25" i="33"/>
  <c r="IE25" i="33"/>
  <c r="IF25" i="33"/>
  <c r="IG25" i="33"/>
  <c r="IH25" i="33"/>
  <c r="II25" i="33"/>
  <c r="IJ25" i="33"/>
  <c r="IK25" i="33"/>
  <c r="IL25" i="33"/>
  <c r="IM25" i="33"/>
  <c r="IN25" i="33"/>
  <c r="IO25" i="33"/>
  <c r="IP25" i="33"/>
  <c r="IQ25" i="33"/>
  <c r="IR25" i="33"/>
  <c r="IS25" i="33"/>
  <c r="IT25" i="33"/>
  <c r="IU25" i="33"/>
  <c r="IV25" i="33"/>
  <c r="A24" i="33"/>
  <c r="B24" i="33"/>
  <c r="C24" i="33"/>
  <c r="D24" i="33"/>
  <c r="E24" i="33"/>
  <c r="F24" i="33"/>
  <c r="G24" i="33"/>
  <c r="H24" i="33"/>
  <c r="I24" i="33"/>
  <c r="J24" i="33"/>
  <c r="K24" i="33"/>
  <c r="L24" i="33"/>
  <c r="M24" i="33"/>
  <c r="O24" i="33"/>
  <c r="P24" i="33"/>
  <c r="Q24" i="33"/>
  <c r="R24" i="33"/>
  <c r="S24" i="33"/>
  <c r="T24" i="33"/>
  <c r="W24" i="33"/>
  <c r="X24" i="33"/>
  <c r="Y24" i="33"/>
  <c r="Z24" i="33"/>
  <c r="AA24" i="33"/>
  <c r="AB24" i="33"/>
  <c r="AC24" i="33"/>
  <c r="AD24" i="33"/>
  <c r="AE24" i="33"/>
  <c r="AF24" i="33"/>
  <c r="AG24" i="33"/>
  <c r="AH24" i="33"/>
  <c r="AI24" i="33"/>
  <c r="AJ24" i="33"/>
  <c r="AK24" i="33"/>
  <c r="AL24" i="33"/>
  <c r="AM24" i="33"/>
  <c r="AN24" i="33"/>
  <c r="AO24" i="33"/>
  <c r="AP24" i="33"/>
  <c r="AQ24" i="33"/>
  <c r="AR24" i="33"/>
  <c r="AS24" i="33"/>
  <c r="AT24" i="33"/>
  <c r="AU24" i="33"/>
  <c r="AV24" i="33"/>
  <c r="AW24" i="33"/>
  <c r="AX24" i="33"/>
  <c r="AY24" i="33"/>
  <c r="AZ24" i="33"/>
  <c r="BA24" i="33"/>
  <c r="BB24" i="33"/>
  <c r="BC24" i="33"/>
  <c r="BD24" i="33"/>
  <c r="BE24" i="33"/>
  <c r="BF24" i="33"/>
  <c r="BG24" i="33"/>
  <c r="BH24" i="33"/>
  <c r="BI24" i="33"/>
  <c r="BJ24" i="33"/>
  <c r="BK24" i="33"/>
  <c r="BL24" i="33"/>
  <c r="BM24" i="33"/>
  <c r="BN24" i="33"/>
  <c r="BO24" i="33"/>
  <c r="BP24" i="33"/>
  <c r="BQ24" i="33"/>
  <c r="BR24" i="33"/>
  <c r="BS24" i="33"/>
  <c r="BT24" i="33"/>
  <c r="BU24" i="33"/>
  <c r="BV24" i="33"/>
  <c r="BW24" i="33"/>
  <c r="BX24" i="33"/>
  <c r="BY24" i="33"/>
  <c r="BZ24" i="33"/>
  <c r="CA24" i="33"/>
  <c r="CB24" i="33"/>
  <c r="CC24" i="33"/>
  <c r="CD24" i="33"/>
  <c r="CE24" i="33"/>
  <c r="CF24" i="33"/>
  <c r="CG24" i="33"/>
  <c r="CH24" i="33"/>
  <c r="CI24" i="33"/>
  <c r="CJ24" i="33"/>
  <c r="CK24" i="33"/>
  <c r="CL24" i="33"/>
  <c r="CM24" i="33"/>
  <c r="CN24" i="33"/>
  <c r="CO24" i="33"/>
  <c r="CP24" i="33"/>
  <c r="CQ24" i="33"/>
  <c r="CR24" i="33"/>
  <c r="CS24" i="33"/>
  <c r="CT24" i="33"/>
  <c r="CU24" i="33"/>
  <c r="CV24" i="33"/>
  <c r="CW24" i="33"/>
  <c r="CX24" i="33"/>
  <c r="CY24" i="33"/>
  <c r="CZ24" i="33"/>
  <c r="DA24" i="33"/>
  <c r="DB24" i="33"/>
  <c r="DC24" i="33"/>
  <c r="DD24" i="33"/>
  <c r="DE24" i="33"/>
  <c r="DF24" i="33"/>
  <c r="DG24" i="33"/>
  <c r="DH24" i="33"/>
  <c r="DI24" i="33"/>
  <c r="DJ24" i="33"/>
  <c r="DK24" i="33"/>
  <c r="DL24" i="33"/>
  <c r="DM24" i="33"/>
  <c r="DN24" i="33"/>
  <c r="DO24" i="33"/>
  <c r="DP24" i="33"/>
  <c r="DQ24" i="33"/>
  <c r="DR24" i="33"/>
  <c r="DS24" i="33"/>
  <c r="DT24" i="33"/>
  <c r="DU24" i="33"/>
  <c r="DV24" i="33"/>
  <c r="DW24" i="33"/>
  <c r="DX24" i="33"/>
  <c r="DY24" i="33"/>
  <c r="DZ24" i="33"/>
  <c r="EA24" i="33"/>
  <c r="EB24" i="33"/>
  <c r="EC24" i="33"/>
  <c r="ED24" i="33"/>
  <c r="EE24" i="33"/>
  <c r="EF24" i="33"/>
  <c r="EG24" i="33"/>
  <c r="EH24" i="33"/>
  <c r="EI24" i="33"/>
  <c r="EJ24" i="33"/>
  <c r="EK24" i="33"/>
  <c r="EL24" i="33"/>
  <c r="EM24" i="33"/>
  <c r="EN24" i="33"/>
  <c r="EO24" i="33"/>
  <c r="EP24" i="33"/>
  <c r="EQ24" i="33"/>
  <c r="ER24" i="33"/>
  <c r="ES24" i="33"/>
  <c r="ET24" i="33"/>
  <c r="EU24" i="33"/>
  <c r="EV24" i="33"/>
  <c r="EW24" i="33"/>
  <c r="EX24" i="33"/>
  <c r="EY24" i="33"/>
  <c r="EZ24" i="33"/>
  <c r="FA24" i="33"/>
  <c r="FB24" i="33"/>
  <c r="FC24" i="33"/>
  <c r="FD24" i="33"/>
  <c r="FE24" i="33"/>
  <c r="FF24" i="33"/>
  <c r="FG24" i="33"/>
  <c r="FH24" i="33"/>
  <c r="FI24" i="33"/>
  <c r="FJ24" i="33"/>
  <c r="FK24" i="33"/>
  <c r="FL24" i="33"/>
  <c r="FM24" i="33"/>
  <c r="FN24" i="33"/>
  <c r="FO24" i="33"/>
  <c r="FP24" i="33"/>
  <c r="FQ24" i="33"/>
  <c r="FR24" i="33"/>
  <c r="FS24" i="33"/>
  <c r="FT24" i="33"/>
  <c r="FU24" i="33"/>
  <c r="FV24" i="33"/>
  <c r="FW24" i="33"/>
  <c r="FX24" i="33"/>
  <c r="FY24" i="33"/>
  <c r="FZ24" i="33"/>
  <c r="GA24" i="33"/>
  <c r="GB24" i="33"/>
  <c r="GC24" i="33"/>
  <c r="GD24" i="33"/>
  <c r="GE24" i="33"/>
  <c r="GF24" i="33"/>
  <c r="GG24" i="33"/>
  <c r="GH24" i="33"/>
  <c r="GI24" i="33"/>
  <c r="GJ24" i="33"/>
  <c r="GK24" i="33"/>
  <c r="GL24" i="33"/>
  <c r="GM24" i="33"/>
  <c r="GN24" i="33"/>
  <c r="GO24" i="33"/>
  <c r="GP24" i="33"/>
  <c r="GQ24" i="33"/>
  <c r="GR24" i="33"/>
  <c r="GS24" i="33"/>
  <c r="GT24" i="33"/>
  <c r="GU24" i="33"/>
  <c r="GV24" i="33"/>
  <c r="GW24" i="33"/>
  <c r="GX24" i="33"/>
  <c r="GY24" i="33"/>
  <c r="GZ24" i="33"/>
  <c r="HA24" i="33"/>
  <c r="HB24" i="33"/>
  <c r="HC24" i="33"/>
  <c r="HD24" i="33"/>
  <c r="HE24" i="33"/>
  <c r="HF24" i="33"/>
  <c r="HG24" i="33"/>
  <c r="HH24" i="33"/>
  <c r="HI24" i="33"/>
  <c r="HJ24" i="33"/>
  <c r="HK24" i="33"/>
  <c r="HL24" i="33"/>
  <c r="HM24" i="33"/>
  <c r="HN24" i="33"/>
  <c r="HO24" i="33"/>
  <c r="HP24" i="33"/>
  <c r="HQ24" i="33"/>
  <c r="HR24" i="33"/>
  <c r="HS24" i="33"/>
  <c r="HT24" i="33"/>
  <c r="HU24" i="33"/>
  <c r="HV24" i="33"/>
  <c r="HW24" i="33"/>
  <c r="HX24" i="33"/>
  <c r="HY24" i="33"/>
  <c r="HZ24" i="33"/>
  <c r="IA24" i="33"/>
  <c r="IB24" i="33"/>
  <c r="IC24" i="33"/>
  <c r="ID24" i="33"/>
  <c r="IE24" i="33"/>
  <c r="IF24" i="33"/>
  <c r="IG24" i="33"/>
  <c r="IH24" i="33"/>
  <c r="II24" i="33"/>
  <c r="IJ24" i="33"/>
  <c r="IK24" i="33"/>
  <c r="IL24" i="33"/>
  <c r="IM24" i="33"/>
  <c r="IN24" i="33"/>
  <c r="IO24" i="33"/>
  <c r="IP24" i="33"/>
  <c r="IQ24" i="33"/>
  <c r="IR24" i="33"/>
  <c r="IS24" i="33"/>
  <c r="IT24" i="33"/>
  <c r="IU24" i="33"/>
  <c r="IV24" i="33"/>
  <c r="A23" i="33"/>
  <c r="B23" i="33"/>
  <c r="C23" i="33"/>
  <c r="D23" i="33"/>
  <c r="E23" i="33"/>
  <c r="F23" i="33"/>
  <c r="G23" i="33"/>
  <c r="H23" i="33"/>
  <c r="I23" i="33"/>
  <c r="J23" i="33"/>
  <c r="K23" i="33"/>
  <c r="L23" i="33"/>
  <c r="M23" i="33"/>
  <c r="N23" i="33"/>
  <c r="O23" i="33"/>
  <c r="P23" i="33"/>
  <c r="Q23" i="33"/>
  <c r="R23" i="33"/>
  <c r="S23" i="33"/>
  <c r="T23" i="33"/>
  <c r="U23" i="33"/>
  <c r="V23" i="33"/>
  <c r="W23" i="33"/>
  <c r="X23" i="33"/>
  <c r="Y23" i="33"/>
  <c r="Z23" i="33"/>
  <c r="AA23" i="33"/>
  <c r="AB23" i="33"/>
  <c r="AC23" i="33"/>
  <c r="AD23" i="33"/>
  <c r="AE23" i="33"/>
  <c r="AF23" i="33"/>
  <c r="AG23" i="33"/>
  <c r="AH23" i="33"/>
  <c r="AI23" i="33"/>
  <c r="AJ23" i="33"/>
  <c r="AK23" i="33"/>
  <c r="AL23" i="33"/>
  <c r="AM23" i="33"/>
  <c r="AN23" i="33"/>
  <c r="AO23" i="33"/>
  <c r="AP23" i="33"/>
  <c r="AQ23" i="33"/>
  <c r="AR23" i="33"/>
  <c r="AS23" i="33"/>
  <c r="AT23" i="33"/>
  <c r="AU23" i="33"/>
  <c r="AV23" i="33"/>
  <c r="AW23" i="33"/>
  <c r="AX23" i="33"/>
  <c r="AY23" i="33"/>
  <c r="AZ23" i="33"/>
  <c r="BA23" i="33"/>
  <c r="BB23" i="33"/>
  <c r="BC23" i="33"/>
  <c r="BD23" i="33"/>
  <c r="BE23" i="33"/>
  <c r="BF23" i="33"/>
  <c r="BG23" i="33"/>
  <c r="BH23" i="33"/>
  <c r="BI23" i="33"/>
  <c r="BJ23" i="33"/>
  <c r="BK23" i="33"/>
  <c r="BL23" i="33"/>
  <c r="BM23" i="33"/>
  <c r="BN23" i="33"/>
  <c r="BO23" i="33"/>
  <c r="BP23" i="33"/>
  <c r="BQ23" i="33"/>
  <c r="BR23" i="33"/>
  <c r="BS23" i="33"/>
  <c r="BT23" i="33"/>
  <c r="BU23" i="33"/>
  <c r="BV23" i="33"/>
  <c r="BW23" i="33"/>
  <c r="BX23" i="33"/>
  <c r="BY23" i="33"/>
  <c r="BZ23" i="33"/>
  <c r="CA23" i="33"/>
  <c r="CB23" i="33"/>
  <c r="CC23" i="33"/>
  <c r="CD23" i="33"/>
  <c r="CE23" i="33"/>
  <c r="CF23" i="33"/>
  <c r="CG23" i="33"/>
  <c r="CH23" i="33"/>
  <c r="CI23" i="33"/>
  <c r="CJ23" i="33"/>
  <c r="CK23" i="33"/>
  <c r="CL23" i="33"/>
  <c r="CM23" i="33"/>
  <c r="CN23" i="33"/>
  <c r="CO23" i="33"/>
  <c r="CP23" i="33"/>
  <c r="CQ23" i="33"/>
  <c r="CR23" i="33"/>
  <c r="CS23" i="33"/>
  <c r="CT23" i="33"/>
  <c r="CU23" i="33"/>
  <c r="CV23" i="33"/>
  <c r="CW23" i="33"/>
  <c r="CX23" i="33"/>
  <c r="CY23" i="33"/>
  <c r="CZ23" i="33"/>
  <c r="DA23" i="33"/>
  <c r="DB23" i="33"/>
  <c r="DC23" i="33"/>
  <c r="DD23" i="33"/>
  <c r="DE23" i="33"/>
  <c r="DF23" i="33"/>
  <c r="DG23" i="33"/>
  <c r="DH23" i="33"/>
  <c r="DI23" i="33"/>
  <c r="DJ23" i="33"/>
  <c r="DK23" i="33"/>
  <c r="DL23" i="33"/>
  <c r="DM23" i="33"/>
  <c r="DN23" i="33"/>
  <c r="DO23" i="33"/>
  <c r="DP23" i="33"/>
  <c r="DQ23" i="33"/>
  <c r="DR23" i="33"/>
  <c r="DS23" i="33"/>
  <c r="DT23" i="33"/>
  <c r="DU23" i="33"/>
  <c r="DV23" i="33"/>
  <c r="DW23" i="33"/>
  <c r="DX23" i="33"/>
  <c r="DY23" i="33"/>
  <c r="DZ23" i="33"/>
  <c r="EA23" i="33"/>
  <c r="EB23" i="33"/>
  <c r="EC23" i="33"/>
  <c r="ED23" i="33"/>
  <c r="EE23" i="33"/>
  <c r="EF23" i="33"/>
  <c r="EG23" i="33"/>
  <c r="EH23" i="33"/>
  <c r="EI23" i="33"/>
  <c r="EJ23" i="33"/>
  <c r="EK23" i="33"/>
  <c r="EL23" i="33"/>
  <c r="EM23" i="33"/>
  <c r="EN23" i="33"/>
  <c r="EO23" i="33"/>
  <c r="EP23" i="33"/>
  <c r="EQ23" i="33"/>
  <c r="ER23" i="33"/>
  <c r="ES23" i="33"/>
  <c r="ET23" i="33"/>
  <c r="EU23" i="33"/>
  <c r="EV23" i="33"/>
  <c r="EW23" i="33"/>
  <c r="EX23" i="33"/>
  <c r="EY23" i="33"/>
  <c r="EZ23" i="33"/>
  <c r="FA23" i="33"/>
  <c r="FB23" i="33"/>
  <c r="FC23" i="33"/>
  <c r="FD23" i="33"/>
  <c r="FE23" i="33"/>
  <c r="FF23" i="33"/>
  <c r="FG23" i="33"/>
  <c r="FH23" i="33"/>
  <c r="FI23" i="33"/>
  <c r="FJ23" i="33"/>
  <c r="FK23" i="33"/>
  <c r="FL23" i="33"/>
  <c r="FM23" i="33"/>
  <c r="FN23" i="33"/>
  <c r="FO23" i="33"/>
  <c r="FP23" i="33"/>
  <c r="FQ23" i="33"/>
  <c r="FR23" i="33"/>
  <c r="FS23" i="33"/>
  <c r="FT23" i="33"/>
  <c r="FU23" i="33"/>
  <c r="FV23" i="33"/>
  <c r="FW23" i="33"/>
  <c r="FX23" i="33"/>
  <c r="FY23" i="33"/>
  <c r="FZ23" i="33"/>
  <c r="GA23" i="33"/>
  <c r="GB23" i="33"/>
  <c r="GC23" i="33"/>
  <c r="GD23" i="33"/>
  <c r="GE23" i="33"/>
  <c r="GF23" i="33"/>
  <c r="GG23" i="33"/>
  <c r="GH23" i="33"/>
  <c r="GI23" i="33"/>
  <c r="GJ23" i="33"/>
  <c r="GK23" i="33"/>
  <c r="GL23" i="33"/>
  <c r="GM23" i="33"/>
  <c r="GN23" i="33"/>
  <c r="GO23" i="33"/>
  <c r="GP23" i="33"/>
  <c r="GQ23" i="33"/>
  <c r="GR23" i="33"/>
  <c r="GS23" i="33"/>
  <c r="GT23" i="33"/>
  <c r="GU23" i="33"/>
  <c r="GV23" i="33"/>
  <c r="GW23" i="33"/>
  <c r="GX23" i="33"/>
  <c r="GY23" i="33"/>
  <c r="GZ23" i="33"/>
  <c r="HA23" i="33"/>
  <c r="HB23" i="33"/>
  <c r="HC23" i="33"/>
  <c r="HD23" i="33"/>
  <c r="HE23" i="33"/>
  <c r="HF23" i="33"/>
  <c r="HG23" i="33"/>
  <c r="HH23" i="33"/>
  <c r="HI23" i="33"/>
  <c r="HJ23" i="33"/>
  <c r="HK23" i="33"/>
  <c r="HL23" i="33"/>
  <c r="HM23" i="33"/>
  <c r="HN23" i="33"/>
  <c r="HO23" i="33"/>
  <c r="HP23" i="33"/>
  <c r="HQ23" i="33"/>
  <c r="HR23" i="33"/>
  <c r="HS23" i="33"/>
  <c r="HT23" i="33"/>
  <c r="HU23" i="33"/>
  <c r="HV23" i="33"/>
  <c r="HW23" i="33"/>
  <c r="HX23" i="33"/>
  <c r="HY23" i="33"/>
  <c r="HZ23" i="33"/>
  <c r="IA23" i="33"/>
  <c r="IB23" i="33"/>
  <c r="IC23" i="33"/>
  <c r="ID23" i="33"/>
  <c r="IE23" i="33"/>
  <c r="IF23" i="33"/>
  <c r="IG23" i="33"/>
  <c r="IH23" i="33"/>
  <c r="II23" i="33"/>
  <c r="IJ23" i="33"/>
  <c r="IK23" i="33"/>
  <c r="IL23" i="33"/>
  <c r="IM23" i="33"/>
  <c r="IN23" i="33"/>
  <c r="IO23" i="33"/>
  <c r="IP23" i="33"/>
  <c r="IQ23" i="33"/>
  <c r="IR23" i="33"/>
  <c r="IS23" i="33"/>
  <c r="IT23" i="33"/>
  <c r="IU23" i="33"/>
  <c r="IV23" i="33"/>
  <c r="A22" i="33"/>
  <c r="B22" i="33"/>
  <c r="C22" i="33"/>
  <c r="D22" i="33"/>
  <c r="E22" i="33"/>
  <c r="F22" i="33"/>
  <c r="G22" i="33"/>
  <c r="H22" i="33"/>
  <c r="I22" i="33"/>
  <c r="J22" i="33"/>
  <c r="K22" i="33"/>
  <c r="L22" i="33"/>
  <c r="M22" i="33"/>
  <c r="N22" i="33"/>
  <c r="O22" i="33"/>
  <c r="P22" i="33"/>
  <c r="Q22" i="33"/>
  <c r="R22" i="33"/>
  <c r="S22" i="33"/>
  <c r="T22" i="33"/>
  <c r="U22" i="33"/>
  <c r="V22" i="33"/>
  <c r="W22" i="33"/>
  <c r="X22" i="33"/>
  <c r="Y22" i="33"/>
  <c r="Z22" i="33"/>
  <c r="AA22" i="33"/>
  <c r="AB22" i="33"/>
  <c r="AC22" i="33"/>
  <c r="AD22" i="33"/>
  <c r="AE22" i="33"/>
  <c r="AF22" i="33"/>
  <c r="AG22" i="33"/>
  <c r="AH22" i="33"/>
  <c r="AI22" i="33"/>
  <c r="AJ22" i="33"/>
  <c r="AK22" i="33"/>
  <c r="AL22" i="33"/>
  <c r="AM22" i="33"/>
  <c r="AN22" i="33"/>
  <c r="AO22" i="33"/>
  <c r="AP22" i="33"/>
  <c r="AQ22" i="33"/>
  <c r="AR22" i="33"/>
  <c r="AS22" i="33"/>
  <c r="AT22" i="33"/>
  <c r="AU22" i="33"/>
  <c r="AV22" i="33"/>
  <c r="AW22" i="33"/>
  <c r="AX22" i="33"/>
  <c r="AY22" i="33"/>
  <c r="AZ22" i="33"/>
  <c r="BA22" i="33"/>
  <c r="BB22" i="33"/>
  <c r="BC22" i="33"/>
  <c r="BD22" i="33"/>
  <c r="BE22" i="33"/>
  <c r="BF22" i="33"/>
  <c r="BG22" i="33"/>
  <c r="BH22" i="33"/>
  <c r="BI22" i="33"/>
  <c r="BJ22" i="33"/>
  <c r="BK22" i="33"/>
  <c r="BL22" i="33"/>
  <c r="BM22" i="33"/>
  <c r="BN22" i="33"/>
  <c r="BO22" i="33"/>
  <c r="BP22" i="33"/>
  <c r="BQ22" i="33"/>
  <c r="BR22" i="33"/>
  <c r="BS22" i="33"/>
  <c r="BT22" i="33"/>
  <c r="BU22" i="33"/>
  <c r="BV22" i="33"/>
  <c r="BW22" i="33"/>
  <c r="BX22" i="33"/>
  <c r="BY22" i="33"/>
  <c r="BZ22" i="33"/>
  <c r="CA22" i="33"/>
  <c r="CB22" i="33"/>
  <c r="CC22" i="33"/>
  <c r="CD22" i="33"/>
  <c r="CE22" i="33"/>
  <c r="CF22" i="33"/>
  <c r="CG22" i="33"/>
  <c r="CH22" i="33"/>
  <c r="CI22" i="33"/>
  <c r="CJ22" i="33"/>
  <c r="CK22" i="33"/>
  <c r="CL22" i="33"/>
  <c r="CM22" i="33"/>
  <c r="CN22" i="33"/>
  <c r="CO22" i="33"/>
  <c r="CP22" i="33"/>
  <c r="CQ22" i="33"/>
  <c r="CR22" i="33"/>
  <c r="CS22" i="33"/>
  <c r="CT22" i="33"/>
  <c r="CU22" i="33"/>
  <c r="CV22" i="33"/>
  <c r="CW22" i="33"/>
  <c r="CX22" i="33"/>
  <c r="CY22" i="33"/>
  <c r="CZ22" i="33"/>
  <c r="DA22" i="33"/>
  <c r="DB22" i="33"/>
  <c r="DC22" i="33"/>
  <c r="DD22" i="33"/>
  <c r="DE22" i="33"/>
  <c r="DF22" i="33"/>
  <c r="DG22" i="33"/>
  <c r="DH22" i="33"/>
  <c r="DI22" i="33"/>
  <c r="DJ22" i="33"/>
  <c r="DK22" i="33"/>
  <c r="DL22" i="33"/>
  <c r="DM22" i="33"/>
  <c r="DN22" i="33"/>
  <c r="DO22" i="33"/>
  <c r="DP22" i="33"/>
  <c r="DQ22" i="33"/>
  <c r="DR22" i="33"/>
  <c r="DS22" i="33"/>
  <c r="DT22" i="33"/>
  <c r="DU22" i="33"/>
  <c r="DV22" i="33"/>
  <c r="DW22" i="33"/>
  <c r="DY22" i="33"/>
  <c r="DZ22" i="33"/>
  <c r="EA22" i="33"/>
  <c r="EB22" i="33"/>
  <c r="EC22" i="33"/>
  <c r="ED22" i="33"/>
  <c r="EG22" i="33"/>
  <c r="EH22" i="33"/>
  <c r="EI22" i="33"/>
  <c r="EJ22" i="33"/>
  <c r="EK22" i="33"/>
  <c r="EL22" i="33"/>
  <c r="EM22" i="33"/>
  <c r="EN22" i="33"/>
  <c r="EO22" i="33"/>
  <c r="EP22" i="33"/>
  <c r="EQ22" i="33"/>
  <c r="ER22" i="33"/>
  <c r="ES22" i="33"/>
  <c r="ET22" i="33"/>
  <c r="EU22" i="33"/>
  <c r="EV22" i="33"/>
  <c r="EW22" i="33"/>
  <c r="EX22" i="33"/>
  <c r="EY22" i="33"/>
  <c r="EZ22" i="33"/>
  <c r="FA22" i="33"/>
  <c r="FB22" i="33"/>
  <c r="FC22" i="33"/>
  <c r="FD22" i="33"/>
  <c r="FE22" i="33"/>
  <c r="FF22" i="33"/>
  <c r="FG22" i="33"/>
  <c r="FH22" i="33"/>
  <c r="FI22" i="33"/>
  <c r="FJ22" i="33"/>
  <c r="FK22" i="33"/>
  <c r="FL22" i="33"/>
  <c r="FM22" i="33"/>
  <c r="FN22" i="33"/>
  <c r="FO22" i="33"/>
  <c r="FP22" i="33"/>
  <c r="FQ22" i="33"/>
  <c r="FR22" i="33"/>
  <c r="FS22" i="33"/>
  <c r="FT22" i="33"/>
  <c r="FU22" i="33"/>
  <c r="FV22" i="33"/>
  <c r="FW22" i="33"/>
  <c r="FX22" i="33"/>
  <c r="FY22" i="33"/>
  <c r="FZ22" i="33"/>
  <c r="GA22" i="33"/>
  <c r="GB22" i="33"/>
  <c r="GC22" i="33"/>
  <c r="GD22" i="33"/>
  <c r="GE22" i="33"/>
  <c r="GF22" i="33"/>
  <c r="GG22" i="33"/>
  <c r="GH22" i="33"/>
  <c r="GI22" i="33"/>
  <c r="GJ22" i="33"/>
  <c r="GK22" i="33"/>
  <c r="GL22" i="33"/>
  <c r="GM22" i="33"/>
  <c r="GN22" i="33"/>
  <c r="GO22" i="33"/>
  <c r="GP22" i="33"/>
  <c r="GQ22" i="33"/>
  <c r="GR22" i="33"/>
  <c r="GS22" i="33"/>
  <c r="GT22" i="33"/>
  <c r="GU22" i="33"/>
  <c r="GV22" i="33"/>
  <c r="GW22" i="33"/>
  <c r="GX22" i="33"/>
  <c r="GY22" i="33"/>
  <c r="GZ22" i="33"/>
  <c r="HA22" i="33"/>
  <c r="HB22" i="33"/>
  <c r="HC22" i="33"/>
  <c r="HD22" i="33"/>
  <c r="HE22" i="33"/>
  <c r="HF22" i="33"/>
  <c r="HG22" i="33"/>
  <c r="HH22" i="33"/>
  <c r="HI22" i="33"/>
  <c r="HJ22" i="33"/>
  <c r="HK22" i="33"/>
  <c r="HL22" i="33"/>
  <c r="HM22" i="33"/>
  <c r="HN22" i="33"/>
  <c r="HO22" i="33"/>
  <c r="HP22" i="33"/>
  <c r="HQ22" i="33"/>
  <c r="HR22" i="33"/>
  <c r="HS22" i="33"/>
  <c r="HT22" i="33"/>
  <c r="HU22" i="33"/>
  <c r="HV22" i="33"/>
  <c r="HW22" i="33"/>
  <c r="HX22" i="33"/>
  <c r="HY22" i="33"/>
  <c r="HZ22" i="33"/>
  <c r="IA22" i="33"/>
  <c r="IB22" i="33"/>
  <c r="IC22" i="33"/>
  <c r="ID22" i="33"/>
  <c r="IE22" i="33"/>
  <c r="IF22" i="33"/>
  <c r="IG22" i="33"/>
  <c r="IH22" i="33"/>
  <c r="II22" i="33"/>
  <c r="IJ22" i="33"/>
  <c r="IK22" i="33"/>
  <c r="IL22" i="33"/>
  <c r="IM22" i="33"/>
  <c r="IN22" i="33"/>
  <c r="IO22" i="33"/>
  <c r="IP22" i="33"/>
  <c r="IQ22" i="33"/>
  <c r="IR22" i="33"/>
  <c r="IS22" i="33"/>
  <c r="IT22" i="33"/>
  <c r="IU22" i="33"/>
  <c r="IV22" i="33"/>
  <c r="A21" i="33"/>
  <c r="B21" i="33"/>
  <c r="C21" i="33"/>
  <c r="D21" i="33"/>
  <c r="E21" i="33"/>
  <c r="F21" i="33"/>
  <c r="G21" i="33"/>
  <c r="H21" i="33"/>
  <c r="I21" i="33"/>
  <c r="J21" i="33"/>
  <c r="K21" i="33"/>
  <c r="L21" i="33"/>
  <c r="M21" i="33"/>
  <c r="N21" i="33"/>
  <c r="O21" i="33"/>
  <c r="P21" i="33"/>
  <c r="Q21" i="33"/>
  <c r="R21" i="33"/>
  <c r="S21" i="33"/>
  <c r="T21" i="33"/>
  <c r="U21" i="33"/>
  <c r="V21" i="33"/>
  <c r="W21" i="33"/>
  <c r="X21" i="33"/>
  <c r="Y21" i="33"/>
  <c r="Z21" i="33"/>
  <c r="AA21" i="33"/>
  <c r="AB21" i="33"/>
  <c r="AC21" i="33"/>
  <c r="AE21" i="33"/>
  <c r="AF21" i="33"/>
  <c r="AG21" i="33"/>
  <c r="AH21" i="33"/>
  <c r="AI21" i="33"/>
  <c r="AJ21" i="33"/>
  <c r="AM21" i="33"/>
  <c r="AN21" i="33"/>
  <c r="AO21" i="33"/>
  <c r="AP21" i="33"/>
  <c r="AQ21" i="33"/>
  <c r="AR21" i="33"/>
  <c r="AS21" i="33"/>
  <c r="AT21" i="33"/>
  <c r="AU21" i="33"/>
  <c r="AV21" i="33"/>
  <c r="AW21" i="33"/>
  <c r="AX21" i="33"/>
  <c r="AY21" i="33"/>
  <c r="AZ21" i="33"/>
  <c r="BA21" i="33"/>
  <c r="BB21" i="33"/>
  <c r="BC21" i="33"/>
  <c r="BD21" i="33"/>
  <c r="BE21" i="33"/>
  <c r="BF21" i="33"/>
  <c r="BG21" i="33"/>
  <c r="BH21" i="33"/>
  <c r="BI21" i="33"/>
  <c r="BJ21" i="33"/>
  <c r="BK21" i="33"/>
  <c r="BL21" i="33"/>
  <c r="BM21" i="33"/>
  <c r="BN21" i="33"/>
  <c r="BO21" i="33"/>
  <c r="BP21" i="33"/>
  <c r="BQ21" i="33"/>
  <c r="BR21" i="33"/>
  <c r="BS21" i="33"/>
  <c r="BT21" i="33"/>
  <c r="BU21" i="33"/>
  <c r="BV21" i="33"/>
  <c r="BW21" i="33"/>
  <c r="BX21" i="33"/>
  <c r="BY21" i="33"/>
  <c r="BZ21" i="33"/>
  <c r="CA21" i="33"/>
  <c r="CB21" i="33"/>
  <c r="CC21" i="33"/>
  <c r="CD21" i="33"/>
  <c r="CE21" i="33"/>
  <c r="CF21" i="33"/>
  <c r="CG21" i="33"/>
  <c r="CH21" i="33"/>
  <c r="CI21" i="33"/>
  <c r="CJ21" i="33"/>
  <c r="CK21" i="33"/>
  <c r="CL21" i="33"/>
  <c r="CM21" i="33"/>
  <c r="CN21" i="33"/>
  <c r="CO21" i="33"/>
  <c r="CP21" i="33"/>
  <c r="CQ21" i="33"/>
  <c r="CR21" i="33"/>
  <c r="CS21" i="33"/>
  <c r="CT21" i="33"/>
  <c r="CU21" i="33"/>
  <c r="CV21" i="33"/>
  <c r="CW21" i="33"/>
  <c r="CX21" i="33"/>
  <c r="CY21" i="33"/>
  <c r="CZ21" i="33"/>
  <c r="DA21" i="33"/>
  <c r="DB21" i="33"/>
  <c r="DC21" i="33"/>
  <c r="DD21" i="33"/>
  <c r="DE21" i="33"/>
  <c r="DF21" i="33"/>
  <c r="DG21" i="33"/>
  <c r="DH21" i="33"/>
  <c r="DI21" i="33"/>
  <c r="DJ21" i="33"/>
  <c r="DK21" i="33"/>
  <c r="DL21" i="33"/>
  <c r="DM21" i="33"/>
  <c r="DN21" i="33"/>
  <c r="DO21" i="33"/>
  <c r="DP21" i="33"/>
  <c r="DQ21" i="33"/>
  <c r="DR21" i="33"/>
  <c r="DS21" i="33"/>
  <c r="DT21" i="33"/>
  <c r="DU21" i="33"/>
  <c r="DV21" i="33"/>
  <c r="DW21" i="33"/>
  <c r="DX21" i="33"/>
  <c r="DY21" i="33"/>
  <c r="DZ21" i="33"/>
  <c r="EA21" i="33"/>
  <c r="EB21" i="33"/>
  <c r="EC21" i="33"/>
  <c r="ED21" i="33"/>
  <c r="EE21" i="33"/>
  <c r="EF21" i="33"/>
  <c r="EG21" i="33"/>
  <c r="EH21" i="33"/>
  <c r="EI21" i="33"/>
  <c r="EJ21" i="33"/>
  <c r="EK21" i="33"/>
  <c r="EL21" i="33"/>
  <c r="EM21" i="33"/>
  <c r="EN21" i="33"/>
  <c r="EO21" i="33"/>
  <c r="EP21" i="33"/>
  <c r="EQ21" i="33"/>
  <c r="ER21" i="33"/>
  <c r="ES21" i="33"/>
  <c r="ET21" i="33"/>
  <c r="EU21" i="33"/>
  <c r="EV21" i="33"/>
  <c r="EW21" i="33"/>
  <c r="EX21" i="33"/>
  <c r="EY21" i="33"/>
  <c r="EZ21" i="33"/>
  <c r="FA21" i="33"/>
  <c r="FB21" i="33"/>
  <c r="FC21" i="33"/>
  <c r="FD21" i="33"/>
  <c r="FE21" i="33"/>
  <c r="FF21" i="33"/>
  <c r="FG21" i="33"/>
  <c r="FH21" i="33"/>
  <c r="FI21" i="33"/>
  <c r="FJ21" i="33"/>
  <c r="FK21" i="33"/>
  <c r="FL21" i="33"/>
  <c r="FM21" i="33"/>
  <c r="FN21" i="33"/>
  <c r="FO21" i="33"/>
  <c r="FP21" i="33"/>
  <c r="FQ21" i="33"/>
  <c r="FR21" i="33"/>
  <c r="FS21" i="33"/>
  <c r="FT21" i="33"/>
  <c r="FU21" i="33"/>
  <c r="FV21" i="33"/>
  <c r="FW21" i="33"/>
  <c r="FX21" i="33"/>
  <c r="FY21" i="33"/>
  <c r="FZ21" i="33"/>
  <c r="GA21" i="33"/>
  <c r="GB21" i="33"/>
  <c r="GC21" i="33"/>
  <c r="GD21" i="33"/>
  <c r="GE21" i="33"/>
  <c r="GF21" i="33"/>
  <c r="GG21" i="33"/>
  <c r="GH21" i="33"/>
  <c r="GI21" i="33"/>
  <c r="GJ21" i="33"/>
  <c r="GK21" i="33"/>
  <c r="GL21" i="33"/>
  <c r="GM21" i="33"/>
  <c r="GN21" i="33"/>
  <c r="GO21" i="33"/>
  <c r="GP21" i="33"/>
  <c r="GQ21" i="33"/>
  <c r="GR21" i="33"/>
  <c r="GS21" i="33"/>
  <c r="GT21" i="33"/>
  <c r="GU21" i="33"/>
  <c r="GV21" i="33"/>
  <c r="GW21" i="33"/>
  <c r="GX21" i="33"/>
  <c r="GY21" i="33"/>
  <c r="GZ21" i="33"/>
  <c r="HA21" i="33"/>
  <c r="HB21" i="33"/>
  <c r="HC21" i="33"/>
  <c r="HD21" i="33"/>
  <c r="HE21" i="33"/>
  <c r="HF21" i="33"/>
  <c r="HG21" i="33"/>
  <c r="HH21" i="33"/>
  <c r="HI21" i="33"/>
  <c r="HJ21" i="33"/>
  <c r="HK21" i="33"/>
  <c r="HL21" i="33"/>
  <c r="HM21" i="33"/>
  <c r="HN21" i="33"/>
  <c r="HO21" i="33"/>
  <c r="HP21" i="33"/>
  <c r="HQ21" i="33"/>
  <c r="HR21" i="33"/>
  <c r="HS21" i="33"/>
  <c r="HT21" i="33"/>
  <c r="HU21" i="33"/>
  <c r="HV21" i="33"/>
  <c r="HW21" i="33"/>
  <c r="HX21" i="33"/>
  <c r="HY21" i="33"/>
  <c r="HZ21" i="33"/>
  <c r="IA21" i="33"/>
  <c r="IB21" i="33"/>
  <c r="IC21" i="33"/>
  <c r="ID21" i="33"/>
  <c r="IE21" i="33"/>
  <c r="IF21" i="33"/>
  <c r="IG21" i="33"/>
  <c r="IH21" i="33"/>
  <c r="II21" i="33"/>
  <c r="IJ21" i="33"/>
  <c r="IK21" i="33"/>
  <c r="IL21" i="33"/>
  <c r="IM21" i="33"/>
  <c r="IN21" i="33"/>
  <c r="IO21" i="33"/>
  <c r="IP21" i="33"/>
  <c r="IQ21" i="33"/>
  <c r="IR21" i="33"/>
  <c r="IS21" i="33"/>
  <c r="IT21" i="33"/>
  <c r="IU21" i="33"/>
  <c r="IV21" i="33"/>
  <c r="A20" i="33"/>
  <c r="B20" i="33"/>
  <c r="C20" i="33"/>
  <c r="D20" i="33"/>
  <c r="E20" i="33"/>
  <c r="F20" i="33"/>
  <c r="G20" i="33"/>
  <c r="H20" i="33"/>
  <c r="I20" i="33"/>
  <c r="J20" i="33"/>
  <c r="K20" i="33"/>
  <c r="L20" i="33"/>
  <c r="M20" i="33"/>
  <c r="N20" i="33"/>
  <c r="O20" i="33"/>
  <c r="P20" i="33"/>
  <c r="Q20" i="33"/>
  <c r="R20" i="33"/>
  <c r="S20" i="33"/>
  <c r="T20" i="33"/>
  <c r="U20" i="33"/>
  <c r="V20" i="33"/>
  <c r="W20" i="33"/>
  <c r="X20" i="33"/>
  <c r="Y20" i="33"/>
  <c r="Z20" i="33"/>
  <c r="AA20" i="33"/>
  <c r="AB20" i="33"/>
  <c r="AC20" i="33"/>
  <c r="AD20" i="33"/>
  <c r="AE20" i="33"/>
  <c r="AF20" i="33"/>
  <c r="AG20" i="33"/>
  <c r="AH20" i="33"/>
  <c r="AI20" i="33"/>
  <c r="AJ20" i="33"/>
  <c r="AK20" i="33"/>
  <c r="AL20" i="33"/>
  <c r="AM20" i="33"/>
  <c r="AN20" i="33"/>
  <c r="AO20" i="33"/>
  <c r="AP20" i="33"/>
  <c r="AQ20" i="33"/>
  <c r="AR20" i="33"/>
  <c r="AS20" i="33"/>
  <c r="AT20" i="33"/>
  <c r="AU20" i="33"/>
  <c r="AV20" i="33"/>
  <c r="AW20" i="33"/>
  <c r="AX20" i="33"/>
  <c r="AY20" i="33"/>
  <c r="AZ20" i="33"/>
  <c r="BA20" i="33"/>
  <c r="BB20" i="33"/>
  <c r="BC20" i="33"/>
  <c r="BD20" i="33"/>
  <c r="BE20" i="33"/>
  <c r="BF20" i="33"/>
  <c r="BG20" i="33"/>
  <c r="BH20" i="33"/>
  <c r="BI20" i="33"/>
  <c r="BJ20" i="33"/>
  <c r="BK20" i="33"/>
  <c r="BL20" i="33"/>
  <c r="BM20" i="33"/>
  <c r="BN20" i="33"/>
  <c r="BO20" i="33"/>
  <c r="BP20" i="33"/>
  <c r="BQ20" i="33"/>
  <c r="BR20" i="33"/>
  <c r="BS20" i="33"/>
  <c r="BT20" i="33"/>
  <c r="BU20" i="33"/>
  <c r="BV20" i="33"/>
  <c r="BW20" i="33"/>
  <c r="BX20" i="33"/>
  <c r="BY20" i="33"/>
  <c r="BZ20" i="33"/>
  <c r="CA20" i="33"/>
  <c r="CB20" i="33"/>
  <c r="CC20" i="33"/>
  <c r="CD20" i="33"/>
  <c r="CE20" i="33"/>
  <c r="CF20" i="33"/>
  <c r="CG20" i="33"/>
  <c r="CH20" i="33"/>
  <c r="CI20" i="33"/>
  <c r="CJ20" i="33"/>
  <c r="CK20" i="33"/>
  <c r="CL20" i="33"/>
  <c r="CM20" i="33"/>
  <c r="CN20" i="33"/>
  <c r="CO20" i="33"/>
  <c r="CP20" i="33"/>
  <c r="CQ20" i="33"/>
  <c r="CR20" i="33"/>
  <c r="CS20" i="33"/>
  <c r="CT20" i="33"/>
  <c r="CU20" i="33"/>
  <c r="CV20" i="33"/>
  <c r="CW20" i="33"/>
  <c r="CX20" i="33"/>
  <c r="CY20" i="33"/>
  <c r="CZ20" i="33"/>
  <c r="DA20" i="33"/>
  <c r="DB20" i="33"/>
  <c r="DC20" i="33"/>
  <c r="DD20" i="33"/>
  <c r="DE20" i="33"/>
  <c r="DF20" i="33"/>
  <c r="DG20" i="33"/>
  <c r="DH20" i="33"/>
  <c r="DI20" i="33"/>
  <c r="DJ20" i="33"/>
  <c r="DK20" i="33"/>
  <c r="DL20" i="33"/>
  <c r="DM20" i="33"/>
  <c r="DN20" i="33"/>
  <c r="DO20" i="33"/>
  <c r="DP20" i="33"/>
  <c r="DQ20" i="33"/>
  <c r="DR20" i="33"/>
  <c r="DS20" i="33"/>
  <c r="DT20" i="33"/>
  <c r="DU20" i="33"/>
  <c r="DV20" i="33"/>
  <c r="DW20" i="33"/>
  <c r="DX20" i="33"/>
  <c r="DY20" i="33"/>
  <c r="DZ20" i="33"/>
  <c r="EA20" i="33"/>
  <c r="EB20" i="33"/>
  <c r="EC20" i="33"/>
  <c r="ED20" i="33"/>
  <c r="EE20" i="33"/>
  <c r="EF20" i="33"/>
  <c r="EG20" i="33"/>
  <c r="EH20" i="33"/>
  <c r="EI20" i="33"/>
  <c r="EJ20" i="33"/>
  <c r="EK20" i="33"/>
  <c r="EL20" i="33"/>
  <c r="EM20" i="33"/>
  <c r="EN20" i="33"/>
  <c r="EO20" i="33"/>
  <c r="EP20" i="33"/>
  <c r="EQ20" i="33"/>
  <c r="ER20" i="33"/>
  <c r="ES20" i="33"/>
  <c r="ET20" i="33"/>
  <c r="EU20" i="33"/>
  <c r="EV20" i="33"/>
  <c r="EW20" i="33"/>
  <c r="EX20" i="33"/>
  <c r="EY20" i="33"/>
  <c r="EZ20" i="33"/>
  <c r="FA20" i="33"/>
  <c r="FB20" i="33"/>
  <c r="FC20" i="33"/>
  <c r="FD20" i="33"/>
  <c r="FE20" i="33"/>
  <c r="FF20" i="33"/>
  <c r="FG20" i="33"/>
  <c r="FH20" i="33"/>
  <c r="FI20" i="33"/>
  <c r="FJ20" i="33"/>
  <c r="FK20" i="33"/>
  <c r="FL20" i="33"/>
  <c r="FM20" i="33"/>
  <c r="FN20" i="33"/>
  <c r="FO20" i="33"/>
  <c r="FP20" i="33"/>
  <c r="FQ20" i="33"/>
  <c r="FR20" i="33"/>
  <c r="FS20" i="33"/>
  <c r="FT20" i="33"/>
  <c r="FU20" i="33"/>
  <c r="FV20" i="33"/>
  <c r="FW20" i="33"/>
  <c r="FX20" i="33"/>
  <c r="FY20" i="33"/>
  <c r="FZ20" i="33"/>
  <c r="GA20" i="33"/>
  <c r="GB20" i="33"/>
  <c r="GC20" i="33"/>
  <c r="GD20" i="33"/>
  <c r="GE20" i="33"/>
  <c r="GF20" i="33"/>
  <c r="GG20" i="33"/>
  <c r="GH20" i="33"/>
  <c r="GI20" i="33"/>
  <c r="GJ20" i="33"/>
  <c r="GK20" i="33"/>
  <c r="GL20" i="33"/>
  <c r="GM20" i="33"/>
  <c r="GN20" i="33"/>
  <c r="GO20" i="33"/>
  <c r="GP20" i="33"/>
  <c r="GQ20" i="33"/>
  <c r="GR20" i="33"/>
  <c r="GS20" i="33"/>
  <c r="GT20" i="33"/>
  <c r="GU20" i="33"/>
  <c r="GV20" i="33"/>
  <c r="GW20" i="33"/>
  <c r="GX20" i="33"/>
  <c r="GY20" i="33"/>
  <c r="GZ20" i="33"/>
  <c r="HA20" i="33"/>
  <c r="HB20" i="33"/>
  <c r="HC20" i="33"/>
  <c r="HD20" i="33"/>
  <c r="HE20" i="33"/>
  <c r="HF20" i="33"/>
  <c r="HG20" i="33"/>
  <c r="HH20" i="33"/>
  <c r="HI20" i="33"/>
  <c r="HJ20" i="33"/>
  <c r="HK20" i="33"/>
  <c r="HL20" i="33"/>
  <c r="HM20" i="33"/>
  <c r="HN20" i="33"/>
  <c r="HO20" i="33"/>
  <c r="HP20" i="33"/>
  <c r="HQ20" i="33"/>
  <c r="HR20" i="33"/>
  <c r="HS20" i="33"/>
  <c r="HT20" i="33"/>
  <c r="HU20" i="33"/>
  <c r="HV20" i="33"/>
  <c r="HW20" i="33"/>
  <c r="HX20" i="33"/>
  <c r="HY20" i="33"/>
  <c r="HZ20" i="33"/>
  <c r="IA20" i="33"/>
  <c r="IB20" i="33"/>
  <c r="IC20" i="33"/>
  <c r="ID20" i="33"/>
  <c r="IE20" i="33"/>
  <c r="IF20" i="33"/>
  <c r="IG20" i="33"/>
  <c r="IH20" i="33"/>
  <c r="II20" i="33"/>
  <c r="IJ20" i="33"/>
  <c r="IK20" i="33"/>
  <c r="IL20" i="33"/>
  <c r="IM20" i="33"/>
  <c r="IN20" i="33"/>
  <c r="IO20" i="33"/>
  <c r="IP20" i="33"/>
  <c r="IQ20" i="33"/>
  <c r="IR20" i="33"/>
  <c r="IS20" i="33"/>
  <c r="IT20" i="33"/>
  <c r="IU20" i="33"/>
  <c r="IV20" i="33"/>
  <c r="A19" i="33"/>
  <c r="B19" i="33"/>
  <c r="C19" i="33"/>
  <c r="D19" i="33"/>
  <c r="E19" i="33"/>
  <c r="F19" i="33"/>
  <c r="G19" i="33"/>
  <c r="H19" i="33"/>
  <c r="I19" i="33"/>
  <c r="J19" i="33"/>
  <c r="K19" i="33"/>
  <c r="L19" i="33"/>
  <c r="M19" i="33"/>
  <c r="N19" i="33"/>
  <c r="O19" i="33"/>
  <c r="P19" i="33"/>
  <c r="Q19" i="33"/>
  <c r="R19" i="33"/>
  <c r="S19" i="33"/>
  <c r="T19" i="33"/>
  <c r="U19" i="33"/>
  <c r="V19" i="33"/>
  <c r="W19" i="33"/>
  <c r="X19" i="33"/>
  <c r="Y19" i="33"/>
  <c r="Z19" i="33"/>
  <c r="AA19" i="33"/>
  <c r="AB19" i="33"/>
  <c r="AC19" i="33"/>
  <c r="AD19" i="33"/>
  <c r="AE19" i="33"/>
  <c r="AF19" i="33"/>
  <c r="AG19" i="33"/>
  <c r="AH19" i="33"/>
  <c r="AI19" i="33"/>
  <c r="AJ19" i="33"/>
  <c r="AK19" i="33"/>
  <c r="AL19" i="33"/>
  <c r="AM19" i="33"/>
  <c r="AN19" i="33"/>
  <c r="AO19" i="33"/>
  <c r="AP19" i="33"/>
  <c r="AQ19" i="33"/>
  <c r="AR19" i="33"/>
  <c r="AS19" i="33"/>
  <c r="AU19" i="33"/>
  <c r="AV19" i="33"/>
  <c r="AX19" i="33"/>
  <c r="AZ19" i="33"/>
  <c r="BC19" i="33"/>
  <c r="BD19" i="33"/>
  <c r="BE19" i="33"/>
  <c r="BF19" i="33"/>
  <c r="BG19" i="33"/>
  <c r="BH19" i="33"/>
  <c r="BI19" i="33"/>
  <c r="BJ19" i="33"/>
  <c r="BK19" i="33"/>
  <c r="BL19" i="33"/>
  <c r="BM19" i="33"/>
  <c r="BN19" i="33"/>
  <c r="BO19" i="33"/>
  <c r="BP19" i="33"/>
  <c r="BQ19" i="33"/>
  <c r="BR19" i="33"/>
  <c r="BS19" i="33"/>
  <c r="BT19" i="33"/>
  <c r="BU19" i="33"/>
  <c r="BV19" i="33"/>
  <c r="BW19" i="33"/>
  <c r="BX19" i="33"/>
  <c r="BY19" i="33"/>
  <c r="BZ19" i="33"/>
  <c r="CA19" i="33"/>
  <c r="CB19" i="33"/>
  <c r="CC19" i="33"/>
  <c r="CD19" i="33"/>
  <c r="CE19" i="33"/>
  <c r="CF19" i="33"/>
  <c r="CG19" i="33"/>
  <c r="CH19" i="33"/>
  <c r="CI19" i="33"/>
  <c r="CJ19" i="33"/>
  <c r="CK19" i="33"/>
  <c r="CL19" i="33"/>
  <c r="CM19" i="33"/>
  <c r="CN19" i="33"/>
  <c r="CO19" i="33"/>
  <c r="CP19" i="33"/>
  <c r="CQ19" i="33"/>
  <c r="CR19" i="33"/>
  <c r="CS19" i="33"/>
  <c r="CT19" i="33"/>
  <c r="CU19" i="33"/>
  <c r="CV19" i="33"/>
  <c r="CW19" i="33"/>
  <c r="CX19" i="33"/>
  <c r="CY19" i="33"/>
  <c r="CZ19" i="33"/>
  <c r="DA19" i="33"/>
  <c r="DB19" i="33"/>
  <c r="DC19" i="33"/>
  <c r="DD19" i="33"/>
  <c r="DE19" i="33"/>
  <c r="DF19" i="33"/>
  <c r="DG19" i="33"/>
  <c r="DH19" i="33"/>
  <c r="DI19" i="33"/>
  <c r="DJ19" i="33"/>
  <c r="DK19" i="33"/>
  <c r="DL19" i="33"/>
  <c r="DM19" i="33"/>
  <c r="DN19" i="33"/>
  <c r="DO19" i="33"/>
  <c r="DP19" i="33"/>
  <c r="DQ19" i="33"/>
  <c r="DR19" i="33"/>
  <c r="DS19" i="33"/>
  <c r="DT19" i="33"/>
  <c r="DU19" i="33"/>
  <c r="DV19" i="33"/>
  <c r="DW19" i="33"/>
  <c r="DX19" i="33"/>
  <c r="DY19" i="33"/>
  <c r="DZ19" i="33"/>
  <c r="EA19" i="33"/>
  <c r="EB19" i="33"/>
  <c r="EC19" i="33"/>
  <c r="ED19" i="33"/>
  <c r="EE19" i="33"/>
  <c r="EF19" i="33"/>
  <c r="EG19" i="33"/>
  <c r="EH19" i="33"/>
  <c r="EI19" i="33"/>
  <c r="EJ19" i="33"/>
  <c r="EK19" i="33"/>
  <c r="EL19" i="33"/>
  <c r="EM19" i="33"/>
  <c r="EN19" i="33"/>
  <c r="EO19" i="33"/>
  <c r="EP19" i="33"/>
  <c r="EQ19" i="33"/>
  <c r="ER19" i="33"/>
  <c r="ES19" i="33"/>
  <c r="ET19" i="33"/>
  <c r="EU19" i="33"/>
  <c r="EV19" i="33"/>
  <c r="EW19" i="33"/>
  <c r="EX19" i="33"/>
  <c r="EY19" i="33"/>
  <c r="EZ19" i="33"/>
  <c r="FA19" i="33"/>
  <c r="FB19" i="33"/>
  <c r="FC19" i="33"/>
  <c r="FD19" i="33"/>
  <c r="FE19" i="33"/>
  <c r="FF19" i="33"/>
  <c r="FG19" i="33"/>
  <c r="FH19" i="33"/>
  <c r="FI19" i="33"/>
  <c r="FJ19" i="33"/>
  <c r="FK19" i="33"/>
  <c r="FL19" i="33"/>
  <c r="FM19" i="33"/>
  <c r="FN19" i="33"/>
  <c r="FO19" i="33"/>
  <c r="FP19" i="33"/>
  <c r="FQ19" i="33"/>
  <c r="FR19" i="33"/>
  <c r="FS19" i="33"/>
  <c r="FT19" i="33"/>
  <c r="FU19" i="33"/>
  <c r="FV19" i="33"/>
  <c r="FW19" i="33"/>
  <c r="FX19" i="33"/>
  <c r="FY19" i="33"/>
  <c r="FZ19" i="33"/>
  <c r="GA19" i="33"/>
  <c r="GB19" i="33"/>
  <c r="GC19" i="33"/>
  <c r="GD19" i="33"/>
  <c r="GE19" i="33"/>
  <c r="GF19" i="33"/>
  <c r="GG19" i="33"/>
  <c r="GH19" i="33"/>
  <c r="GI19" i="33"/>
  <c r="GJ19" i="33"/>
  <c r="GK19" i="33"/>
  <c r="GL19" i="33"/>
  <c r="GM19" i="33"/>
  <c r="GN19" i="33"/>
  <c r="GO19" i="33"/>
  <c r="GP19" i="33"/>
  <c r="GQ19" i="33"/>
  <c r="GR19" i="33"/>
  <c r="GS19" i="33"/>
  <c r="GT19" i="33"/>
  <c r="GU19" i="33"/>
  <c r="GV19" i="33"/>
  <c r="GW19" i="33"/>
  <c r="GX19" i="33"/>
  <c r="GY19" i="33"/>
  <c r="GZ19" i="33"/>
  <c r="HA19" i="33"/>
  <c r="HB19" i="33"/>
  <c r="HC19" i="33"/>
  <c r="HD19" i="33"/>
  <c r="HE19" i="33"/>
  <c r="HF19" i="33"/>
  <c r="HG19" i="33"/>
  <c r="HH19" i="33"/>
  <c r="HI19" i="33"/>
  <c r="HJ19" i="33"/>
  <c r="HK19" i="33"/>
  <c r="HL19" i="33"/>
  <c r="HM19" i="33"/>
  <c r="HN19" i="33"/>
  <c r="HO19" i="33"/>
  <c r="HP19" i="33"/>
  <c r="HQ19" i="33"/>
  <c r="HR19" i="33"/>
  <c r="HS19" i="33"/>
  <c r="HT19" i="33"/>
  <c r="HU19" i="33"/>
  <c r="HV19" i="33"/>
  <c r="HW19" i="33"/>
  <c r="HX19" i="33"/>
  <c r="HY19" i="33"/>
  <c r="HZ19" i="33"/>
  <c r="IA19" i="33"/>
  <c r="IB19" i="33"/>
  <c r="IC19" i="33"/>
  <c r="ID19" i="33"/>
  <c r="IE19" i="33"/>
  <c r="IF19" i="33"/>
  <c r="IG19" i="33"/>
  <c r="IH19" i="33"/>
  <c r="II19" i="33"/>
  <c r="IJ19" i="33"/>
  <c r="IK19" i="33"/>
  <c r="IL19" i="33"/>
  <c r="IM19" i="33"/>
  <c r="IN19" i="33"/>
  <c r="IO19" i="33"/>
  <c r="IP19" i="33"/>
  <c r="IQ19" i="33"/>
  <c r="IR19" i="33"/>
  <c r="IS19" i="33"/>
  <c r="IT19" i="33"/>
  <c r="IU19" i="33"/>
  <c r="IV19" i="33"/>
  <c r="B18" i="33"/>
  <c r="C18" i="33"/>
  <c r="D18" i="33"/>
  <c r="E18" i="33"/>
  <c r="F18" i="33"/>
  <c r="G18" i="33"/>
  <c r="H18" i="33"/>
  <c r="I18" i="33"/>
  <c r="J18" i="33"/>
  <c r="K18" i="33"/>
  <c r="L18" i="33"/>
  <c r="M18" i="33"/>
  <c r="N18" i="33"/>
  <c r="O18" i="33"/>
  <c r="P18" i="33"/>
  <c r="Q18" i="33"/>
  <c r="R18" i="33"/>
  <c r="S18" i="33"/>
  <c r="T18" i="33"/>
  <c r="U18" i="33"/>
  <c r="V18" i="33"/>
  <c r="W18" i="33"/>
  <c r="X18" i="33"/>
  <c r="Y18" i="33"/>
  <c r="Z18" i="33"/>
  <c r="AA18" i="33"/>
  <c r="AB18" i="33"/>
  <c r="AC18" i="33"/>
  <c r="AD18" i="33"/>
  <c r="AE18" i="33"/>
  <c r="AF18" i="33"/>
  <c r="AG18" i="33"/>
  <c r="AH18" i="33"/>
  <c r="AI18" i="33"/>
  <c r="AJ18" i="33"/>
  <c r="AK18" i="33"/>
  <c r="AL18" i="33"/>
  <c r="AM18" i="33"/>
  <c r="AN18" i="33"/>
  <c r="AO18" i="33"/>
  <c r="AP18" i="33"/>
  <c r="AQ18" i="33"/>
  <c r="AR18" i="33"/>
  <c r="AS18" i="33"/>
  <c r="AT18" i="33"/>
  <c r="AU18" i="33"/>
  <c r="AV18" i="33"/>
  <c r="AW18" i="33"/>
  <c r="AX18" i="33"/>
  <c r="AY18" i="33"/>
  <c r="AZ18" i="33"/>
  <c r="BA18" i="33"/>
  <c r="BB18" i="33"/>
  <c r="BC18" i="33"/>
  <c r="BD18" i="33"/>
  <c r="BE18" i="33"/>
  <c r="BF18" i="33"/>
  <c r="BG18" i="33"/>
  <c r="BH18" i="33"/>
  <c r="BI18" i="33"/>
  <c r="BJ18" i="33"/>
  <c r="BK18" i="33"/>
  <c r="BL18" i="33"/>
  <c r="BM18" i="33"/>
  <c r="BN18" i="33"/>
  <c r="BO18" i="33"/>
  <c r="BP18" i="33"/>
  <c r="BQ18" i="33"/>
  <c r="BR18" i="33"/>
  <c r="BS18" i="33"/>
  <c r="BT18" i="33"/>
  <c r="BU18" i="33"/>
  <c r="BV18" i="33"/>
  <c r="BW18" i="33"/>
  <c r="BX18" i="33"/>
  <c r="BY18" i="33"/>
  <c r="BZ18" i="33"/>
  <c r="CA18" i="33"/>
  <c r="CB18" i="33"/>
  <c r="CC18" i="33"/>
  <c r="CD18" i="33"/>
  <c r="CE18" i="33"/>
  <c r="CF18" i="33"/>
  <c r="CG18" i="33"/>
  <c r="CH18" i="33"/>
  <c r="CI18" i="33"/>
  <c r="CJ18" i="33"/>
  <c r="CK18" i="33"/>
  <c r="CL18" i="33"/>
  <c r="CM18" i="33"/>
  <c r="CN18" i="33"/>
  <c r="CO18" i="33"/>
  <c r="CP18" i="33"/>
  <c r="CQ18" i="33"/>
  <c r="CR18" i="33"/>
  <c r="CS18" i="33"/>
  <c r="CT18" i="33"/>
  <c r="CU18" i="33"/>
  <c r="CV18" i="33"/>
  <c r="CW18" i="33"/>
  <c r="CX18" i="33"/>
  <c r="CY18" i="33"/>
  <c r="CZ18" i="33"/>
  <c r="DA18" i="33"/>
  <c r="DB18" i="33"/>
  <c r="DC18" i="33"/>
  <c r="DD18" i="33"/>
  <c r="DE18" i="33"/>
  <c r="DF18" i="33"/>
  <c r="DG18" i="33"/>
  <c r="DH18" i="33"/>
  <c r="DI18" i="33"/>
  <c r="DJ18" i="33"/>
  <c r="DK18" i="33"/>
  <c r="DL18" i="33"/>
  <c r="DM18" i="33"/>
  <c r="DN18" i="33"/>
  <c r="DO18" i="33"/>
  <c r="DP18" i="33"/>
  <c r="DQ18" i="33"/>
  <c r="DR18" i="33"/>
  <c r="DS18" i="33"/>
  <c r="DT18" i="33"/>
  <c r="DU18" i="33"/>
  <c r="DV18" i="33"/>
  <c r="DW18" i="33"/>
  <c r="DX18" i="33"/>
  <c r="DY18" i="33"/>
  <c r="DZ18" i="33"/>
  <c r="EA18" i="33"/>
  <c r="EB18" i="33"/>
  <c r="EC18" i="33"/>
  <c r="ED18" i="33"/>
  <c r="EE18" i="33"/>
  <c r="EF18" i="33"/>
  <c r="EG18" i="33"/>
  <c r="EH18" i="33"/>
  <c r="EI18" i="33"/>
  <c r="EJ18" i="33"/>
  <c r="EK18" i="33"/>
  <c r="EL18" i="33"/>
  <c r="EM18" i="33"/>
  <c r="EN18" i="33"/>
  <c r="EO18" i="33"/>
  <c r="EP18" i="33"/>
  <c r="EQ18" i="33"/>
  <c r="ER18" i="33"/>
  <c r="ES18" i="33"/>
  <c r="ET18" i="33"/>
  <c r="EU18" i="33"/>
  <c r="EV18" i="33"/>
  <c r="EW18" i="33"/>
  <c r="EX18" i="33"/>
  <c r="EY18" i="33"/>
  <c r="EZ18" i="33"/>
  <c r="FA18" i="33"/>
  <c r="FB18" i="33"/>
  <c r="FC18" i="33"/>
  <c r="FD18" i="33"/>
  <c r="FE18" i="33"/>
  <c r="FF18" i="33"/>
  <c r="FG18" i="33"/>
  <c r="FH18" i="33"/>
  <c r="FI18" i="33"/>
  <c r="FJ18" i="33"/>
  <c r="FK18" i="33"/>
  <c r="FL18" i="33"/>
  <c r="FM18" i="33"/>
  <c r="FN18" i="33"/>
  <c r="FO18" i="33"/>
  <c r="FP18" i="33"/>
  <c r="FQ18" i="33"/>
  <c r="FR18" i="33"/>
  <c r="FS18" i="33"/>
  <c r="FT18" i="33"/>
  <c r="FU18" i="33"/>
  <c r="FV18" i="33"/>
  <c r="FW18" i="33"/>
  <c r="FX18" i="33"/>
  <c r="FY18" i="33"/>
  <c r="FZ18" i="33"/>
  <c r="GA18" i="33"/>
  <c r="GB18" i="33"/>
  <c r="GC18" i="33"/>
  <c r="GD18" i="33"/>
  <c r="GE18" i="33"/>
  <c r="GF18" i="33"/>
  <c r="GG18" i="33"/>
  <c r="GH18" i="33"/>
  <c r="GI18" i="33"/>
  <c r="GJ18" i="33"/>
  <c r="GK18" i="33"/>
  <c r="GL18" i="33"/>
  <c r="GM18" i="33"/>
  <c r="GN18" i="33"/>
  <c r="GO18" i="33"/>
  <c r="GP18" i="33"/>
  <c r="GQ18" i="33"/>
  <c r="GR18" i="33"/>
  <c r="GS18" i="33"/>
  <c r="GT18" i="33"/>
  <c r="GU18" i="33"/>
  <c r="GV18" i="33"/>
  <c r="GW18" i="33"/>
  <c r="GX18" i="33"/>
  <c r="GY18" i="33"/>
  <c r="GZ18" i="33"/>
  <c r="HA18" i="33"/>
  <c r="HB18" i="33"/>
  <c r="HC18" i="33"/>
  <c r="HD18" i="33"/>
  <c r="HE18" i="33"/>
  <c r="HF18" i="33"/>
  <c r="HG18" i="33"/>
  <c r="HH18" i="33"/>
  <c r="HI18" i="33"/>
  <c r="HJ18" i="33"/>
  <c r="HK18" i="33"/>
  <c r="HL18" i="33"/>
  <c r="HM18" i="33"/>
  <c r="HN18" i="33"/>
  <c r="HO18" i="33"/>
  <c r="HP18" i="33"/>
  <c r="HQ18" i="33"/>
  <c r="HR18" i="33"/>
  <c r="HS18" i="33"/>
  <c r="HT18" i="33"/>
  <c r="HU18" i="33"/>
  <c r="HV18" i="33"/>
  <c r="HW18" i="33"/>
  <c r="HX18" i="33"/>
  <c r="HY18" i="33"/>
  <c r="HZ18" i="33"/>
  <c r="IA18" i="33"/>
  <c r="IB18" i="33"/>
  <c r="IC18" i="33"/>
  <c r="ID18" i="33"/>
  <c r="IE18" i="33"/>
  <c r="IF18" i="33"/>
  <c r="IG18" i="33"/>
  <c r="IH18" i="33"/>
  <c r="II18" i="33"/>
  <c r="IJ18" i="33"/>
  <c r="IK18" i="33"/>
  <c r="IL18" i="33"/>
  <c r="IM18" i="33"/>
  <c r="IN18" i="33"/>
  <c r="IO18" i="33"/>
  <c r="IP18" i="33"/>
  <c r="IQ18" i="33"/>
  <c r="IR18" i="33"/>
  <c r="IS18" i="33"/>
  <c r="IT18" i="33"/>
  <c r="IU18" i="33"/>
  <c r="IV18" i="33"/>
  <c r="A17" i="33"/>
  <c r="B17" i="33"/>
  <c r="C17" i="33"/>
  <c r="D17" i="33"/>
  <c r="E17" i="33"/>
  <c r="F17" i="33"/>
  <c r="G17" i="33"/>
  <c r="H17" i="33"/>
  <c r="I17" i="33"/>
  <c r="J17" i="33"/>
  <c r="K17" i="33"/>
  <c r="L17" i="33"/>
  <c r="M17" i="33"/>
  <c r="N17" i="33"/>
  <c r="O17" i="33"/>
  <c r="P17" i="33"/>
  <c r="Q17" i="33"/>
  <c r="R17" i="33"/>
  <c r="S17" i="33"/>
  <c r="T17" i="33"/>
  <c r="U17" i="33"/>
  <c r="V17" i="33"/>
  <c r="W17" i="33"/>
  <c r="X17" i="33"/>
  <c r="Y17" i="33"/>
  <c r="Z17" i="33"/>
  <c r="AA17" i="33"/>
  <c r="AB17" i="33"/>
  <c r="AC17" i="33"/>
  <c r="AD17" i="33"/>
  <c r="AE17" i="33"/>
  <c r="AF17" i="33"/>
  <c r="AG17" i="33"/>
  <c r="AH17" i="33"/>
  <c r="AI17" i="33"/>
  <c r="AJ17" i="33"/>
  <c r="AK17" i="33"/>
  <c r="AL17" i="33"/>
  <c r="AM17" i="33"/>
  <c r="AN17" i="33"/>
  <c r="AO17" i="33"/>
  <c r="AP17" i="33"/>
  <c r="AQ17" i="33"/>
  <c r="AR17" i="33"/>
  <c r="AS17" i="33"/>
  <c r="AT17" i="33"/>
  <c r="AU17" i="33"/>
  <c r="AV17" i="33"/>
  <c r="AW17" i="33"/>
  <c r="AX17" i="33"/>
  <c r="AY17" i="33"/>
  <c r="AZ17" i="33"/>
  <c r="BA17" i="33"/>
  <c r="BB17" i="33"/>
  <c r="BC17" i="33"/>
  <c r="BD17" i="33"/>
  <c r="BE17" i="33"/>
  <c r="BF17" i="33"/>
  <c r="BG17" i="33"/>
  <c r="BH17" i="33"/>
  <c r="BI17" i="33"/>
  <c r="BJ17" i="33"/>
  <c r="BK17" i="33"/>
  <c r="BL17" i="33"/>
  <c r="BM17" i="33"/>
  <c r="BN17" i="33"/>
  <c r="BO17" i="33"/>
  <c r="BP17" i="33"/>
  <c r="BQ17" i="33"/>
  <c r="BR17" i="33"/>
  <c r="BS17" i="33"/>
  <c r="BT17" i="33"/>
  <c r="BU17" i="33"/>
  <c r="BV17" i="33"/>
  <c r="BW17" i="33"/>
  <c r="BX17" i="33"/>
  <c r="BY17" i="33"/>
  <c r="BZ17" i="33"/>
  <c r="CA17" i="33"/>
  <c r="CB17" i="33"/>
  <c r="CC17" i="33"/>
  <c r="CD17" i="33"/>
  <c r="CE17" i="33"/>
  <c r="CF17" i="33"/>
  <c r="CG17" i="33"/>
  <c r="CH17" i="33"/>
  <c r="CI17" i="33"/>
  <c r="CJ17" i="33"/>
  <c r="CK17" i="33"/>
  <c r="CL17" i="33"/>
  <c r="CM17" i="33"/>
  <c r="CN17" i="33"/>
  <c r="CO17" i="33"/>
  <c r="CP17" i="33"/>
  <c r="CQ17" i="33"/>
  <c r="CR17" i="33"/>
  <c r="CS17" i="33"/>
  <c r="CT17" i="33"/>
  <c r="CU17" i="33"/>
  <c r="CV17" i="33"/>
  <c r="CW17" i="33"/>
  <c r="CX17" i="33"/>
  <c r="CY17" i="33"/>
  <c r="CZ17" i="33"/>
  <c r="DA17" i="33"/>
  <c r="DB17" i="33"/>
  <c r="DC17" i="33"/>
  <c r="DD17" i="33"/>
  <c r="DE17" i="33"/>
  <c r="DF17" i="33"/>
  <c r="DG17" i="33"/>
  <c r="DH17" i="33"/>
  <c r="DI17" i="33"/>
  <c r="DJ17" i="33"/>
  <c r="DK17" i="33"/>
  <c r="DL17" i="33"/>
  <c r="DM17" i="33"/>
  <c r="DN17" i="33"/>
  <c r="DO17" i="33"/>
  <c r="DP17" i="33"/>
  <c r="DQ17" i="33"/>
  <c r="DR17" i="33"/>
  <c r="DS17" i="33"/>
  <c r="DT17" i="33"/>
  <c r="DU17" i="33"/>
  <c r="DV17" i="33"/>
  <c r="DW17" i="33"/>
  <c r="DX17" i="33"/>
  <c r="DY17" i="33"/>
  <c r="DZ17" i="33"/>
  <c r="EA17" i="33"/>
  <c r="EB17" i="33"/>
  <c r="EC17" i="33"/>
  <c r="ED17" i="33"/>
  <c r="EE17" i="33"/>
  <c r="EF17" i="33"/>
  <c r="EG17" i="33"/>
  <c r="EH17" i="33"/>
  <c r="EI17" i="33"/>
  <c r="EJ17" i="33"/>
  <c r="EK17" i="33"/>
  <c r="EL17" i="33"/>
  <c r="EM17" i="33"/>
  <c r="EN17" i="33"/>
  <c r="EO17" i="33"/>
  <c r="EP17" i="33"/>
  <c r="EQ17" i="33"/>
  <c r="ER17" i="33"/>
  <c r="ES17" i="33"/>
  <c r="ET17" i="33"/>
  <c r="EU17" i="33"/>
  <c r="EV17" i="33"/>
  <c r="EW17" i="33"/>
  <c r="EX17" i="33"/>
  <c r="EY17" i="33"/>
  <c r="EZ17" i="33"/>
  <c r="FA17" i="33"/>
  <c r="FB17" i="33"/>
  <c r="FC17" i="33"/>
  <c r="FD17" i="33"/>
  <c r="FE17" i="33"/>
  <c r="FF17" i="33"/>
  <c r="FG17" i="33"/>
  <c r="FH17" i="33"/>
  <c r="FI17" i="33"/>
  <c r="FJ17" i="33"/>
  <c r="FK17" i="33"/>
  <c r="FL17" i="33"/>
  <c r="FM17" i="33"/>
  <c r="FN17" i="33"/>
  <c r="FO17" i="33"/>
  <c r="FP17" i="33"/>
  <c r="FQ17" i="33"/>
  <c r="FR17" i="33"/>
  <c r="FS17" i="33"/>
  <c r="FT17" i="33"/>
  <c r="FU17" i="33"/>
  <c r="FV17" i="33"/>
  <c r="FW17" i="33"/>
  <c r="FX17" i="33"/>
  <c r="FY17" i="33"/>
  <c r="FZ17" i="33"/>
  <c r="GA17" i="33"/>
  <c r="GB17" i="33"/>
  <c r="GC17" i="33"/>
  <c r="GD17" i="33"/>
  <c r="GE17" i="33"/>
  <c r="GF17" i="33"/>
  <c r="GG17" i="33"/>
  <c r="GH17" i="33"/>
  <c r="GI17" i="33"/>
  <c r="GJ17" i="33"/>
  <c r="GK17" i="33"/>
  <c r="GL17" i="33"/>
  <c r="GM17" i="33"/>
  <c r="GN17" i="33"/>
  <c r="GO17" i="33"/>
  <c r="GP17" i="33"/>
  <c r="GQ17" i="33"/>
  <c r="GR17" i="33"/>
  <c r="GS17" i="33"/>
  <c r="GT17" i="33"/>
  <c r="GU17" i="33"/>
  <c r="GV17" i="33"/>
  <c r="GW17" i="33"/>
  <c r="GX17" i="33"/>
  <c r="GY17" i="33"/>
  <c r="GZ17" i="33"/>
  <c r="HA17" i="33"/>
  <c r="HB17" i="33"/>
  <c r="HC17" i="33"/>
  <c r="HD17" i="33"/>
  <c r="HE17" i="33"/>
  <c r="HF17" i="33"/>
  <c r="HG17" i="33"/>
  <c r="HH17" i="33"/>
  <c r="HI17" i="33"/>
  <c r="HJ17" i="33"/>
  <c r="HK17" i="33"/>
  <c r="HL17" i="33"/>
  <c r="HM17" i="33"/>
  <c r="HN17" i="33"/>
  <c r="HO17" i="33"/>
  <c r="HP17" i="33"/>
  <c r="HQ17" i="33"/>
  <c r="HR17" i="33"/>
  <c r="HS17" i="33"/>
  <c r="HT17" i="33"/>
  <c r="HU17" i="33"/>
  <c r="HV17" i="33"/>
  <c r="HW17" i="33"/>
  <c r="HX17" i="33"/>
  <c r="HY17" i="33"/>
  <c r="HZ17" i="33"/>
  <c r="IA17" i="33"/>
  <c r="IB17" i="33"/>
  <c r="IC17" i="33"/>
  <c r="ID17" i="33"/>
  <c r="IE17" i="33"/>
  <c r="IF17" i="33"/>
  <c r="IG17" i="33"/>
  <c r="IH17" i="33"/>
  <c r="II17" i="33"/>
  <c r="IJ17" i="33"/>
  <c r="IK17" i="33"/>
  <c r="IL17" i="33"/>
  <c r="IM17" i="33"/>
  <c r="IN17" i="33"/>
  <c r="IO17" i="33"/>
  <c r="IP17" i="33"/>
  <c r="IQ17" i="33"/>
  <c r="IR17" i="33"/>
  <c r="IS17" i="33"/>
  <c r="IT17" i="33"/>
  <c r="IU17" i="33"/>
  <c r="IV17" i="33"/>
  <c r="A16" i="33"/>
  <c r="B16" i="33"/>
  <c r="C16" i="33"/>
  <c r="D16" i="33"/>
  <c r="E16" i="33"/>
  <c r="F16" i="33"/>
  <c r="G16" i="33"/>
  <c r="H16" i="33"/>
  <c r="I16" i="33"/>
  <c r="J16" i="33"/>
  <c r="K16" i="33"/>
  <c r="L16" i="33"/>
  <c r="M16" i="33"/>
  <c r="N16" i="33"/>
  <c r="O16" i="33"/>
  <c r="P16" i="33"/>
  <c r="Q16" i="33"/>
  <c r="R16" i="33"/>
  <c r="S16" i="33"/>
  <c r="T16" i="33"/>
  <c r="U16" i="33"/>
  <c r="V16" i="33"/>
  <c r="W16" i="33"/>
  <c r="X16" i="33"/>
  <c r="Y16" i="33"/>
  <c r="Z16" i="33"/>
  <c r="AA16" i="33"/>
  <c r="AB16" i="33"/>
  <c r="AC16" i="33"/>
  <c r="AD16" i="33"/>
  <c r="AE16" i="33"/>
  <c r="AF16" i="33"/>
  <c r="AG16" i="33"/>
  <c r="AH16" i="33"/>
  <c r="AI16" i="33"/>
  <c r="AJ16" i="33"/>
  <c r="AK16" i="33"/>
  <c r="AL16" i="33"/>
  <c r="AM16" i="33"/>
  <c r="AN16" i="33"/>
  <c r="AO16" i="33"/>
  <c r="AP16" i="33"/>
  <c r="AQ16" i="33"/>
  <c r="AR16" i="33"/>
  <c r="AS16" i="33"/>
  <c r="AT16" i="33"/>
  <c r="AU16" i="33"/>
  <c r="AV16" i="33"/>
  <c r="AW16" i="33"/>
  <c r="AX16" i="33"/>
  <c r="AY16" i="33"/>
  <c r="AZ16" i="33"/>
  <c r="BA16" i="33"/>
  <c r="BB16" i="33"/>
  <c r="BC16" i="33"/>
  <c r="BD16" i="33"/>
  <c r="BE16" i="33"/>
  <c r="BF16" i="33"/>
  <c r="BG16" i="33"/>
  <c r="BH16" i="33"/>
  <c r="BI16" i="33"/>
  <c r="BJ16" i="33"/>
  <c r="BK16" i="33"/>
  <c r="BL16" i="33"/>
  <c r="BM16" i="33"/>
  <c r="BN16" i="33"/>
  <c r="BO16" i="33"/>
  <c r="BP16" i="33"/>
  <c r="BQ16" i="33"/>
  <c r="BR16" i="33"/>
  <c r="BS16" i="33"/>
  <c r="BT16" i="33"/>
  <c r="BU16" i="33"/>
  <c r="BV16" i="33"/>
  <c r="BW16" i="33"/>
  <c r="BX16" i="33"/>
  <c r="BY16" i="33"/>
  <c r="BZ16" i="33"/>
  <c r="CA16" i="33"/>
  <c r="CB16" i="33"/>
  <c r="CC16" i="33"/>
  <c r="CD16" i="33"/>
  <c r="CE16" i="33"/>
  <c r="CF16" i="33"/>
  <c r="CG16" i="33"/>
  <c r="CH16" i="33"/>
  <c r="CI16" i="33"/>
  <c r="CJ16" i="33"/>
  <c r="CK16" i="33"/>
  <c r="CL16" i="33"/>
  <c r="CM16" i="33"/>
  <c r="CN16" i="33"/>
  <c r="CP16" i="33"/>
  <c r="CQ16" i="33"/>
  <c r="CS16" i="33"/>
  <c r="CU16" i="33"/>
  <c r="CX16" i="33"/>
  <c r="CY16" i="33"/>
  <c r="CZ16" i="33"/>
  <c r="DA16" i="33"/>
  <c r="DB16" i="33"/>
  <c r="DC16" i="33"/>
  <c r="DD16" i="33"/>
  <c r="DE16" i="33"/>
  <c r="DF16" i="33"/>
  <c r="DG16" i="33"/>
  <c r="DH16" i="33"/>
  <c r="DI16" i="33"/>
  <c r="DJ16" i="33"/>
  <c r="DK16" i="33"/>
  <c r="DL16" i="33"/>
  <c r="DM16" i="33"/>
  <c r="DN16" i="33"/>
  <c r="DO16" i="33"/>
  <c r="DP16" i="33"/>
  <c r="DQ16" i="33"/>
  <c r="DR16" i="33"/>
  <c r="DS16" i="33"/>
  <c r="DT16" i="33"/>
  <c r="DU16" i="33"/>
  <c r="DV16" i="33"/>
  <c r="DW16" i="33"/>
  <c r="DX16" i="33"/>
  <c r="DY16" i="33"/>
  <c r="DZ16" i="33"/>
  <c r="EA16" i="33"/>
  <c r="EB16" i="33"/>
  <c r="EC16" i="33"/>
  <c r="ED16" i="33"/>
  <c r="EE16" i="33"/>
  <c r="EF16" i="33"/>
  <c r="EG16" i="33"/>
  <c r="EH16" i="33"/>
  <c r="EI16" i="33"/>
  <c r="EJ16" i="33"/>
  <c r="EK16" i="33"/>
  <c r="EL16" i="33"/>
  <c r="EM16" i="33"/>
  <c r="EN16" i="33"/>
  <c r="EO16" i="33"/>
  <c r="EP16" i="33"/>
  <c r="EQ16" i="33"/>
  <c r="ER16" i="33"/>
  <c r="ES16" i="33"/>
  <c r="ET16" i="33"/>
  <c r="EU16" i="33"/>
  <c r="EV16" i="33"/>
  <c r="EW16" i="33"/>
  <c r="EX16" i="33"/>
  <c r="EY16" i="33"/>
  <c r="EZ16" i="33"/>
  <c r="FA16" i="33"/>
  <c r="FB16" i="33"/>
  <c r="FC16" i="33"/>
  <c r="FD16" i="33"/>
  <c r="FE16" i="33"/>
  <c r="FF16" i="33"/>
  <c r="FG16" i="33"/>
  <c r="FH16" i="33"/>
  <c r="FI16" i="33"/>
  <c r="FJ16" i="33"/>
  <c r="FK16" i="33"/>
  <c r="FL16" i="33"/>
  <c r="FM16" i="33"/>
  <c r="FN16" i="33"/>
  <c r="FO16" i="33"/>
  <c r="FP16" i="33"/>
  <c r="FQ16" i="33"/>
  <c r="FR16" i="33"/>
  <c r="FS16" i="33"/>
  <c r="FT16" i="33"/>
  <c r="FU16" i="33"/>
  <c r="FV16" i="33"/>
  <c r="FW16" i="33"/>
  <c r="FX16" i="33"/>
  <c r="FY16" i="33"/>
  <c r="FZ16" i="33"/>
  <c r="GA16" i="33"/>
  <c r="GB16" i="33"/>
  <c r="GC16" i="33"/>
  <c r="GD16" i="33"/>
  <c r="GE16" i="33"/>
  <c r="GF16" i="33"/>
  <c r="GG16" i="33"/>
  <c r="GH16" i="33"/>
  <c r="GI16" i="33"/>
  <c r="GJ16" i="33"/>
  <c r="GK16" i="33"/>
  <c r="GL16" i="33"/>
  <c r="GM16" i="33"/>
  <c r="GN16" i="33"/>
  <c r="GO16" i="33"/>
  <c r="GP16" i="33"/>
  <c r="GQ16" i="33"/>
  <c r="GR16" i="33"/>
  <c r="GS16" i="33"/>
  <c r="GT16" i="33"/>
  <c r="GU16" i="33"/>
  <c r="GV16" i="33"/>
  <c r="GW16" i="33"/>
  <c r="GX16" i="33"/>
  <c r="GY16" i="33"/>
  <c r="GZ16" i="33"/>
  <c r="HA16" i="33"/>
  <c r="HB16" i="33"/>
  <c r="HC16" i="33"/>
  <c r="HD16" i="33"/>
  <c r="HE16" i="33"/>
  <c r="HF16" i="33"/>
  <c r="HG16" i="33"/>
  <c r="HH16" i="33"/>
  <c r="HI16" i="33"/>
  <c r="HJ16" i="33"/>
  <c r="HK16" i="33"/>
  <c r="HL16" i="33"/>
  <c r="HM16" i="33"/>
  <c r="HN16" i="33"/>
  <c r="HO16" i="33"/>
  <c r="HP16" i="33"/>
  <c r="HQ16" i="33"/>
  <c r="HR16" i="33"/>
  <c r="HS16" i="33"/>
  <c r="HT16" i="33"/>
  <c r="HU16" i="33"/>
  <c r="HV16" i="33"/>
  <c r="HW16" i="33"/>
  <c r="HX16" i="33"/>
  <c r="HY16" i="33"/>
  <c r="HZ16" i="33"/>
  <c r="IA16" i="33"/>
  <c r="IB16" i="33"/>
  <c r="IC16" i="33"/>
  <c r="ID16" i="33"/>
  <c r="IE16" i="33"/>
  <c r="IF16" i="33"/>
  <c r="IG16" i="33"/>
  <c r="IH16" i="33"/>
  <c r="II16" i="33"/>
  <c r="IJ16" i="33"/>
  <c r="IK16" i="33"/>
  <c r="IL16" i="33"/>
  <c r="IM16" i="33"/>
  <c r="IN16" i="33"/>
  <c r="IO16" i="33"/>
  <c r="IP16" i="33"/>
  <c r="IQ16" i="33"/>
  <c r="IR16" i="33"/>
  <c r="IS16" i="33"/>
  <c r="IT16" i="33"/>
  <c r="IU16" i="33"/>
  <c r="IV16" i="33"/>
  <c r="A15" i="33"/>
  <c r="B15" i="33"/>
  <c r="C15" i="33"/>
  <c r="D15" i="33"/>
  <c r="E15" i="33"/>
  <c r="F15" i="33"/>
  <c r="G15" i="33"/>
  <c r="H15" i="33"/>
  <c r="J15" i="33"/>
  <c r="K15" i="33"/>
  <c r="L15" i="33"/>
  <c r="M15" i="33"/>
  <c r="N15" i="33"/>
  <c r="O15" i="33"/>
  <c r="P15" i="33"/>
  <c r="Q15" i="33"/>
  <c r="R15" i="33"/>
  <c r="S15" i="33"/>
  <c r="T15" i="33"/>
  <c r="U15" i="33"/>
  <c r="V15" i="33"/>
  <c r="W15" i="33"/>
  <c r="X15" i="33"/>
  <c r="Y15" i="33"/>
  <c r="Z15" i="33"/>
  <c r="AA15" i="33"/>
  <c r="AB15" i="33"/>
  <c r="AC15" i="33"/>
  <c r="AD15" i="33"/>
  <c r="AE15" i="33"/>
  <c r="AF15" i="33"/>
  <c r="AG15" i="33"/>
  <c r="AH15" i="33"/>
  <c r="AI15" i="33"/>
  <c r="AJ15" i="33"/>
  <c r="AK15" i="33"/>
  <c r="AL15" i="33"/>
  <c r="AM15" i="33"/>
  <c r="AN15" i="33"/>
  <c r="AO15" i="33"/>
  <c r="AP15" i="33"/>
  <c r="AQ15" i="33"/>
  <c r="AR15" i="33"/>
  <c r="AS15" i="33"/>
  <c r="AT15" i="33"/>
  <c r="AU15" i="33"/>
  <c r="AV15" i="33"/>
  <c r="AW15" i="33"/>
  <c r="AX15" i="33"/>
  <c r="AY15" i="33"/>
  <c r="AZ15" i="33"/>
  <c r="BA15" i="33"/>
  <c r="BB15" i="33"/>
  <c r="BC15" i="33"/>
  <c r="BD15" i="33"/>
  <c r="BE15" i="33"/>
  <c r="BF15" i="33"/>
  <c r="BG15" i="33"/>
  <c r="BH15" i="33"/>
  <c r="BI15" i="33"/>
  <c r="BJ15" i="33"/>
  <c r="BK15" i="33"/>
  <c r="BL15" i="33"/>
  <c r="BM15" i="33"/>
  <c r="BN15" i="33"/>
  <c r="BO15" i="33"/>
  <c r="BP15" i="33"/>
  <c r="BQ15" i="33"/>
  <c r="BR15" i="33"/>
  <c r="BS15" i="33"/>
  <c r="BT15" i="33"/>
  <c r="BU15" i="33"/>
  <c r="BV15" i="33"/>
  <c r="BW15" i="33"/>
  <c r="BX15" i="33"/>
  <c r="BY15" i="33"/>
  <c r="BZ15" i="33"/>
  <c r="CA15" i="33"/>
  <c r="CB15" i="33"/>
  <c r="CC15" i="33"/>
  <c r="CD15" i="33"/>
  <c r="CE15" i="33"/>
  <c r="CF15" i="33"/>
  <c r="CG15" i="33"/>
  <c r="CH15" i="33"/>
  <c r="CI15" i="33"/>
  <c r="CJ15" i="33"/>
  <c r="CK15" i="33"/>
  <c r="CL15" i="33"/>
  <c r="CM15" i="33"/>
  <c r="CN15" i="33"/>
  <c r="CO15" i="33"/>
  <c r="CP15" i="33"/>
  <c r="CQ15" i="33"/>
  <c r="CR15" i="33"/>
  <c r="CS15" i="33"/>
  <c r="CT15" i="33"/>
  <c r="CU15" i="33"/>
  <c r="CV15" i="33"/>
  <c r="CW15" i="33"/>
  <c r="CX15" i="33"/>
  <c r="CY15" i="33"/>
  <c r="CZ15" i="33"/>
  <c r="DA15" i="33"/>
  <c r="DB15" i="33"/>
  <c r="DC15" i="33"/>
  <c r="DD15" i="33"/>
  <c r="DE15" i="33"/>
  <c r="DF15" i="33"/>
  <c r="DG15" i="33"/>
  <c r="DH15" i="33"/>
  <c r="DI15" i="33"/>
  <c r="DJ15" i="33"/>
  <c r="DK15" i="33"/>
  <c r="DL15" i="33"/>
  <c r="DM15" i="33"/>
  <c r="DN15" i="33"/>
  <c r="DO15" i="33"/>
  <c r="DP15" i="33"/>
  <c r="DQ15" i="33"/>
  <c r="DR15" i="33"/>
  <c r="DS15" i="33"/>
  <c r="DT15" i="33"/>
  <c r="DU15" i="33"/>
  <c r="DV15" i="33"/>
  <c r="DW15" i="33"/>
  <c r="DX15" i="33"/>
  <c r="DY15" i="33"/>
  <c r="DZ15" i="33"/>
  <c r="EA15" i="33"/>
  <c r="EB15" i="33"/>
  <c r="EC15" i="33"/>
  <c r="ED15" i="33"/>
  <c r="EE15" i="33"/>
  <c r="EF15" i="33"/>
  <c r="EG15" i="33"/>
  <c r="EH15" i="33"/>
  <c r="EI15" i="33"/>
  <c r="EJ15" i="33"/>
  <c r="EK15" i="33"/>
  <c r="EL15" i="33"/>
  <c r="EM15" i="33"/>
  <c r="EN15" i="33"/>
  <c r="EO15" i="33"/>
  <c r="EP15" i="33"/>
  <c r="EQ15" i="33"/>
  <c r="ER15" i="33"/>
  <c r="ES15" i="33"/>
  <c r="ET15" i="33"/>
  <c r="EU15" i="33"/>
  <c r="EV15" i="33"/>
  <c r="EW15" i="33"/>
  <c r="EX15" i="33"/>
  <c r="EY15" i="33"/>
  <c r="EZ15" i="33"/>
  <c r="FA15" i="33"/>
  <c r="FB15" i="33"/>
  <c r="FC15" i="33"/>
  <c r="FD15" i="33"/>
  <c r="FE15" i="33"/>
  <c r="FF15" i="33"/>
  <c r="FG15" i="33"/>
  <c r="FH15" i="33"/>
  <c r="FI15" i="33"/>
  <c r="FJ15" i="33"/>
  <c r="FK15" i="33"/>
  <c r="FL15" i="33"/>
  <c r="FM15" i="33"/>
  <c r="FN15" i="33"/>
  <c r="FO15" i="33"/>
  <c r="FP15" i="33"/>
  <c r="FQ15" i="33"/>
  <c r="FR15" i="33"/>
  <c r="FS15" i="33"/>
  <c r="FT15" i="33"/>
  <c r="FU15" i="33"/>
  <c r="FV15" i="33"/>
  <c r="FW15" i="33"/>
  <c r="FX15" i="33"/>
  <c r="FY15" i="33"/>
  <c r="FZ15" i="33"/>
  <c r="GA15" i="33"/>
  <c r="GB15" i="33"/>
  <c r="GC15" i="33"/>
  <c r="GD15" i="33"/>
  <c r="GE15" i="33"/>
  <c r="GF15" i="33"/>
  <c r="GG15" i="33"/>
  <c r="GH15" i="33"/>
  <c r="GI15" i="33"/>
  <c r="GJ15" i="33"/>
  <c r="GK15" i="33"/>
  <c r="GL15" i="33"/>
  <c r="GM15" i="33"/>
  <c r="GN15" i="33"/>
  <c r="GO15" i="33"/>
  <c r="GP15" i="33"/>
  <c r="GQ15" i="33"/>
  <c r="GR15" i="33"/>
  <c r="GS15" i="33"/>
  <c r="GT15" i="33"/>
  <c r="GU15" i="33"/>
  <c r="GV15" i="33"/>
  <c r="GW15" i="33"/>
  <c r="GX15" i="33"/>
  <c r="GY15" i="33"/>
  <c r="GZ15" i="33"/>
  <c r="HA15" i="33"/>
  <c r="HB15" i="33"/>
  <c r="HC15" i="33"/>
  <c r="HD15" i="33"/>
  <c r="HE15" i="33"/>
  <c r="HF15" i="33"/>
  <c r="HG15" i="33"/>
  <c r="HH15" i="33"/>
  <c r="HI15" i="33"/>
  <c r="HJ15" i="33"/>
  <c r="HK15" i="33"/>
  <c r="HL15" i="33"/>
  <c r="HM15" i="33"/>
  <c r="HN15" i="33"/>
  <c r="HO15" i="33"/>
  <c r="HP15" i="33"/>
  <c r="HQ15" i="33"/>
  <c r="HR15" i="33"/>
  <c r="HS15" i="33"/>
  <c r="HT15" i="33"/>
  <c r="HU15" i="33"/>
  <c r="HV15" i="33"/>
  <c r="HW15" i="33"/>
  <c r="HX15" i="33"/>
  <c r="HY15" i="33"/>
  <c r="HZ15" i="33"/>
  <c r="IA15" i="33"/>
  <c r="IB15" i="33"/>
  <c r="IC15" i="33"/>
  <c r="ID15" i="33"/>
  <c r="IE15" i="33"/>
  <c r="IF15" i="33"/>
  <c r="IG15" i="33"/>
  <c r="IH15" i="33"/>
  <c r="II15" i="33"/>
  <c r="IJ15" i="33"/>
  <c r="IK15" i="33"/>
  <c r="IL15" i="33"/>
  <c r="IM15" i="33"/>
  <c r="IN15" i="33"/>
  <c r="IO15" i="33"/>
  <c r="IP15" i="33"/>
  <c r="IQ15" i="33"/>
  <c r="IR15" i="33"/>
  <c r="IS15" i="33"/>
  <c r="IT15" i="33"/>
  <c r="IU15" i="33"/>
  <c r="IV15" i="33"/>
  <c r="A14" i="33"/>
  <c r="B14" i="33"/>
  <c r="C14" i="33"/>
  <c r="D14" i="33"/>
  <c r="E14" i="33"/>
  <c r="F14" i="33"/>
  <c r="G14" i="33"/>
  <c r="H14" i="33"/>
  <c r="I14" i="33"/>
  <c r="J14" i="33"/>
  <c r="K14" i="33"/>
  <c r="L14" i="33"/>
  <c r="M14" i="33"/>
  <c r="N14" i="33"/>
  <c r="O14" i="33"/>
  <c r="P14" i="33"/>
  <c r="Q14" i="33"/>
  <c r="R14" i="33"/>
  <c r="S14" i="33"/>
  <c r="T14" i="33"/>
  <c r="U14" i="33"/>
  <c r="V14" i="33"/>
  <c r="W14" i="33"/>
  <c r="X14" i="33"/>
  <c r="Y14" i="33"/>
  <c r="Z14" i="33"/>
  <c r="AA14" i="33"/>
  <c r="AB14" i="33"/>
  <c r="AC14" i="33"/>
  <c r="AD14" i="33"/>
  <c r="AE14" i="33"/>
  <c r="AF14" i="33"/>
  <c r="AG14" i="33"/>
  <c r="AH14" i="33"/>
  <c r="AI14" i="33"/>
  <c r="AJ14" i="33"/>
  <c r="AK14" i="33"/>
  <c r="AL14" i="33"/>
  <c r="AM14" i="33"/>
  <c r="AN14" i="33"/>
  <c r="AO14" i="33"/>
  <c r="AP14" i="33"/>
  <c r="AQ14" i="33"/>
  <c r="AR14" i="33"/>
  <c r="AS14" i="33"/>
  <c r="AT14" i="33"/>
  <c r="AU14" i="33"/>
  <c r="AV14" i="33"/>
  <c r="AW14" i="33"/>
  <c r="AX14" i="33"/>
  <c r="AY14" i="33"/>
  <c r="AZ14" i="33"/>
  <c r="BA14" i="33"/>
  <c r="BB14" i="33"/>
  <c r="BC14" i="33"/>
  <c r="BD14" i="33"/>
  <c r="BE14" i="33"/>
  <c r="BF14" i="33"/>
  <c r="BG14" i="33"/>
  <c r="BH14" i="33"/>
  <c r="BI14" i="33"/>
  <c r="BJ14" i="33"/>
  <c r="BK14" i="33"/>
  <c r="BL14" i="33"/>
  <c r="BM14" i="33"/>
  <c r="BN14" i="33"/>
  <c r="BO14" i="33"/>
  <c r="BP14" i="33"/>
  <c r="BQ14" i="33"/>
  <c r="BR14" i="33"/>
  <c r="BS14" i="33"/>
  <c r="BT14" i="33"/>
  <c r="BU14" i="33"/>
  <c r="BV14" i="33"/>
  <c r="BW14" i="33"/>
  <c r="BX14" i="33"/>
  <c r="BY14" i="33"/>
  <c r="BZ14" i="33"/>
  <c r="CA14" i="33"/>
  <c r="CB14" i="33"/>
  <c r="CC14" i="33"/>
  <c r="CD14" i="33"/>
  <c r="CE14" i="33"/>
  <c r="CF14" i="33"/>
  <c r="CG14" i="33"/>
  <c r="CH14" i="33"/>
  <c r="CI14" i="33"/>
  <c r="CJ14" i="33"/>
  <c r="CK14" i="33"/>
  <c r="CL14" i="33"/>
  <c r="CM14" i="33"/>
  <c r="CN14" i="33"/>
  <c r="CO14" i="33"/>
  <c r="CP14" i="33"/>
  <c r="CQ14" i="33"/>
  <c r="CR14" i="33"/>
  <c r="CS14" i="33"/>
  <c r="CT14" i="33"/>
  <c r="CU14" i="33"/>
  <c r="CV14" i="33"/>
  <c r="CW14" i="33"/>
  <c r="CX14" i="33"/>
  <c r="CY14" i="33"/>
  <c r="CZ14" i="33"/>
  <c r="DA14" i="33"/>
  <c r="DB14" i="33"/>
  <c r="DC14" i="33"/>
  <c r="DD14" i="33"/>
  <c r="DE14" i="33"/>
  <c r="DF14" i="33"/>
  <c r="DG14" i="33"/>
  <c r="DH14" i="33"/>
  <c r="DI14" i="33"/>
  <c r="DJ14" i="33"/>
  <c r="DK14" i="33"/>
  <c r="DL14" i="33"/>
  <c r="DM14" i="33"/>
  <c r="DN14" i="33"/>
  <c r="DO14" i="33"/>
  <c r="DP14" i="33"/>
  <c r="DQ14" i="33"/>
  <c r="DR14" i="33"/>
  <c r="DS14" i="33"/>
  <c r="DT14" i="33"/>
  <c r="DU14" i="33"/>
  <c r="DV14" i="33"/>
  <c r="DW14" i="33"/>
  <c r="DX14" i="33"/>
  <c r="DY14" i="33"/>
  <c r="DZ14" i="33"/>
  <c r="EA14" i="33"/>
  <c r="EB14" i="33"/>
  <c r="EC14" i="33"/>
  <c r="ED14" i="33"/>
  <c r="EE14" i="33"/>
  <c r="EF14" i="33"/>
  <c r="EG14" i="33"/>
  <c r="EH14" i="33"/>
  <c r="EI14" i="33"/>
  <c r="EJ14" i="33"/>
  <c r="EK14" i="33"/>
  <c r="EL14" i="33"/>
  <c r="EM14" i="33"/>
  <c r="EN14" i="33"/>
  <c r="EO14" i="33"/>
  <c r="EP14" i="33"/>
  <c r="EQ14" i="33"/>
  <c r="ER14" i="33"/>
  <c r="ES14" i="33"/>
  <c r="ET14" i="33"/>
  <c r="EU14" i="33"/>
  <c r="EV14" i="33"/>
  <c r="EW14" i="33"/>
  <c r="EX14" i="33"/>
  <c r="EY14" i="33"/>
  <c r="EZ14" i="33"/>
  <c r="FA14" i="33"/>
  <c r="FB14" i="33"/>
  <c r="FC14" i="33"/>
  <c r="FD14" i="33"/>
  <c r="FE14" i="33"/>
  <c r="FF14" i="33"/>
  <c r="FG14" i="33"/>
  <c r="FH14" i="33"/>
  <c r="FI14" i="33"/>
  <c r="FJ14" i="33"/>
  <c r="FK14" i="33"/>
  <c r="FL14" i="33"/>
  <c r="FM14" i="33"/>
  <c r="FN14" i="33"/>
  <c r="FO14" i="33"/>
  <c r="FP14" i="33"/>
  <c r="FQ14" i="33"/>
  <c r="FR14" i="33"/>
  <c r="FS14" i="33"/>
  <c r="FT14" i="33"/>
  <c r="FU14" i="33"/>
  <c r="FV14" i="33"/>
  <c r="FW14" i="33"/>
  <c r="FX14" i="33"/>
  <c r="FY14" i="33"/>
  <c r="FZ14" i="33"/>
  <c r="GA14" i="33"/>
  <c r="GB14" i="33"/>
  <c r="GC14" i="33"/>
  <c r="GD14" i="33"/>
  <c r="GE14" i="33"/>
  <c r="GF14" i="33"/>
  <c r="GG14" i="33"/>
  <c r="GH14" i="33"/>
  <c r="GI14" i="33"/>
  <c r="GJ14" i="33"/>
  <c r="GK14" i="33"/>
  <c r="GL14" i="33"/>
  <c r="GM14" i="33"/>
  <c r="GN14" i="33"/>
  <c r="GO14" i="33"/>
  <c r="GP14" i="33"/>
  <c r="GQ14" i="33"/>
  <c r="GR14" i="33"/>
  <c r="GS14" i="33"/>
  <c r="GT14" i="33"/>
  <c r="GU14" i="33"/>
  <c r="GV14" i="33"/>
  <c r="GW14" i="33"/>
  <c r="GX14" i="33"/>
  <c r="GY14" i="33"/>
  <c r="GZ14" i="33"/>
  <c r="HA14" i="33"/>
  <c r="HB14" i="33"/>
  <c r="HC14" i="33"/>
  <c r="HD14" i="33"/>
  <c r="HE14" i="33"/>
  <c r="HF14" i="33"/>
  <c r="HG14" i="33"/>
  <c r="HH14" i="33"/>
  <c r="HI14" i="33"/>
  <c r="HJ14" i="33"/>
  <c r="HK14" i="33"/>
  <c r="HL14" i="33"/>
  <c r="HM14" i="33"/>
  <c r="HN14" i="33"/>
  <c r="HO14" i="33"/>
  <c r="HP14" i="33"/>
  <c r="HQ14" i="33"/>
  <c r="HR14" i="33"/>
  <c r="HS14" i="33"/>
  <c r="HT14" i="33"/>
  <c r="HU14" i="33"/>
  <c r="HV14" i="33"/>
  <c r="HW14" i="33"/>
  <c r="HX14" i="33"/>
  <c r="HY14" i="33"/>
  <c r="HZ14" i="33"/>
  <c r="IA14" i="33"/>
  <c r="IB14" i="33"/>
  <c r="IC14" i="33"/>
  <c r="ID14" i="33"/>
  <c r="IE14" i="33"/>
  <c r="IF14" i="33"/>
  <c r="IG14" i="33"/>
  <c r="IH14" i="33"/>
  <c r="II14" i="33"/>
  <c r="IJ14" i="33"/>
  <c r="IK14" i="33"/>
  <c r="IL14" i="33"/>
  <c r="IM14" i="33"/>
  <c r="IN14" i="33"/>
  <c r="IO14" i="33"/>
  <c r="IP14" i="33"/>
  <c r="IQ14" i="33"/>
  <c r="IR14" i="33"/>
  <c r="IS14" i="33"/>
  <c r="IT14" i="33"/>
  <c r="IU14" i="33"/>
  <c r="IV14" i="33"/>
  <c r="A13" i="33"/>
  <c r="B13" i="33"/>
  <c r="C13" i="33"/>
  <c r="D13" i="33"/>
  <c r="E13" i="33"/>
  <c r="F13" i="33"/>
  <c r="G13" i="33"/>
  <c r="H13" i="33"/>
  <c r="I13" i="33"/>
  <c r="J13" i="33"/>
  <c r="K13" i="33"/>
  <c r="L13" i="33"/>
  <c r="M13" i="33"/>
  <c r="N13" i="33"/>
  <c r="O13" i="33"/>
  <c r="P13" i="33"/>
  <c r="Q13" i="33"/>
  <c r="R13" i="33"/>
  <c r="S13" i="33"/>
  <c r="T13" i="33"/>
  <c r="U13" i="33"/>
  <c r="V13" i="33"/>
  <c r="W13" i="33"/>
  <c r="X13" i="33"/>
  <c r="Y13" i="33"/>
  <c r="Z13" i="33"/>
  <c r="AA13" i="33"/>
  <c r="AB13" i="33"/>
  <c r="AC13" i="33"/>
  <c r="AD13" i="33"/>
  <c r="AE13" i="33"/>
  <c r="AF13" i="33"/>
  <c r="AG13" i="33"/>
  <c r="AH13" i="33"/>
  <c r="AI13" i="33"/>
  <c r="AJ13" i="33"/>
  <c r="AK13" i="33"/>
  <c r="AL13" i="33"/>
  <c r="AM13" i="33"/>
  <c r="AN13" i="33"/>
  <c r="AO13" i="33"/>
  <c r="AP13" i="33"/>
  <c r="AQ13" i="33"/>
  <c r="AR13" i="33"/>
  <c r="AS13" i="33"/>
  <c r="AT13" i="33"/>
  <c r="AU13" i="33"/>
  <c r="AV13" i="33"/>
  <c r="AW13" i="33"/>
  <c r="AX13" i="33"/>
  <c r="AY13" i="33"/>
  <c r="AZ13" i="33"/>
  <c r="BA13" i="33"/>
  <c r="BB13" i="33"/>
  <c r="BC13" i="33"/>
  <c r="BD13" i="33"/>
  <c r="BE13" i="33"/>
  <c r="BF13" i="33"/>
  <c r="BG13" i="33"/>
  <c r="BH13" i="33"/>
  <c r="BI13" i="33"/>
  <c r="BJ13" i="33"/>
  <c r="BK13" i="33"/>
  <c r="BL13" i="33"/>
  <c r="BM13" i="33"/>
  <c r="BN13" i="33"/>
  <c r="BO13" i="33"/>
  <c r="BP13" i="33"/>
  <c r="BQ13" i="33"/>
  <c r="BR13" i="33"/>
  <c r="BS13" i="33"/>
  <c r="BT13" i="33"/>
  <c r="BU13" i="33"/>
  <c r="BV13" i="33"/>
  <c r="BW13" i="33"/>
  <c r="BX13" i="33"/>
  <c r="BY13" i="33"/>
  <c r="BZ13" i="33"/>
  <c r="CA13" i="33"/>
  <c r="CB13" i="33"/>
  <c r="CC13" i="33"/>
  <c r="CD13" i="33"/>
  <c r="CE13" i="33"/>
  <c r="CF13" i="33"/>
  <c r="CG13" i="33"/>
  <c r="CH13" i="33"/>
  <c r="CI13" i="33"/>
  <c r="CJ13" i="33"/>
  <c r="CK13" i="33"/>
  <c r="CL13" i="33"/>
  <c r="CM13" i="33"/>
  <c r="CN13" i="33"/>
  <c r="CO13" i="33"/>
  <c r="CP13" i="33"/>
  <c r="CQ13" i="33"/>
  <c r="CR13" i="33"/>
  <c r="CS13" i="33"/>
  <c r="CT13" i="33"/>
  <c r="CU13" i="33"/>
  <c r="CV13" i="33"/>
  <c r="CW13" i="33"/>
  <c r="CX13" i="33"/>
  <c r="CY13" i="33"/>
  <c r="CZ13" i="33"/>
  <c r="DA13" i="33"/>
  <c r="DB13" i="33"/>
  <c r="DC13" i="33"/>
  <c r="DD13" i="33"/>
  <c r="DE13" i="33"/>
  <c r="DF13" i="33"/>
  <c r="DG13" i="33"/>
  <c r="DH13" i="33"/>
  <c r="DI13" i="33"/>
  <c r="DJ13" i="33"/>
  <c r="DK13" i="33"/>
  <c r="DL13" i="33"/>
  <c r="DM13" i="33"/>
  <c r="DN13" i="33"/>
  <c r="DO13" i="33"/>
  <c r="DP13" i="33"/>
  <c r="DQ13" i="33"/>
  <c r="DR13" i="33"/>
  <c r="DS13" i="33"/>
  <c r="DT13" i="33"/>
  <c r="DU13" i="33"/>
  <c r="DV13" i="33"/>
  <c r="DW13" i="33"/>
  <c r="DX13" i="33"/>
  <c r="DY13" i="33"/>
  <c r="DZ13" i="33"/>
  <c r="EA13" i="33"/>
  <c r="EB13" i="33"/>
  <c r="EC13" i="33"/>
  <c r="ED13" i="33"/>
  <c r="EE13" i="33"/>
  <c r="EF13" i="33"/>
  <c r="EG13" i="33"/>
  <c r="EH13" i="33"/>
  <c r="EI13" i="33"/>
  <c r="EJ13" i="33"/>
  <c r="EK13" i="33"/>
  <c r="EL13" i="33"/>
  <c r="EM13" i="33"/>
  <c r="EN13" i="33"/>
  <c r="EO13" i="33"/>
  <c r="EP13" i="33"/>
  <c r="EQ13" i="33"/>
  <c r="ER13" i="33"/>
  <c r="ES13" i="33"/>
  <c r="ET13" i="33"/>
  <c r="EU13" i="33"/>
  <c r="EV13" i="33"/>
  <c r="EW13" i="33"/>
  <c r="EX13" i="33"/>
  <c r="EY13" i="33"/>
  <c r="EZ13" i="33"/>
  <c r="FA13" i="33"/>
  <c r="FB13" i="33"/>
  <c r="FC13" i="33"/>
  <c r="FD13" i="33"/>
  <c r="FE13" i="33"/>
  <c r="FF13" i="33"/>
  <c r="FG13" i="33"/>
  <c r="FH13" i="33"/>
  <c r="FI13" i="33"/>
  <c r="FJ13" i="33"/>
  <c r="FK13" i="33"/>
  <c r="FL13" i="33"/>
  <c r="FM13" i="33"/>
  <c r="FN13" i="33"/>
  <c r="FO13" i="33"/>
  <c r="FP13" i="33"/>
  <c r="FQ13" i="33"/>
  <c r="FR13" i="33"/>
  <c r="FS13" i="33"/>
  <c r="FT13" i="33"/>
  <c r="FU13" i="33"/>
  <c r="FV13" i="33"/>
  <c r="FW13" i="33"/>
  <c r="FX13" i="33"/>
  <c r="FY13" i="33"/>
  <c r="FZ13" i="33"/>
  <c r="GA13" i="33"/>
  <c r="GB13" i="33"/>
  <c r="GC13" i="33"/>
  <c r="GD13" i="33"/>
  <c r="GE13" i="33"/>
  <c r="GF13" i="33"/>
  <c r="GG13" i="33"/>
  <c r="GH13" i="33"/>
  <c r="GI13" i="33"/>
  <c r="GJ13" i="33"/>
  <c r="GK13" i="33"/>
  <c r="GL13" i="33"/>
  <c r="GM13" i="33"/>
  <c r="GN13" i="33"/>
  <c r="GO13" i="33"/>
  <c r="GP13" i="33"/>
  <c r="GQ13" i="33"/>
  <c r="GR13" i="33"/>
  <c r="GS13" i="33"/>
  <c r="GT13" i="33"/>
  <c r="GU13" i="33"/>
  <c r="GV13" i="33"/>
  <c r="GW13" i="33"/>
  <c r="GX13" i="33"/>
  <c r="GY13" i="33"/>
  <c r="GZ13" i="33"/>
  <c r="HA13" i="33"/>
  <c r="HB13" i="33"/>
  <c r="HC13" i="33"/>
  <c r="HD13" i="33"/>
  <c r="HE13" i="33"/>
  <c r="HF13" i="33"/>
  <c r="HG13" i="33"/>
  <c r="HH13" i="33"/>
  <c r="HI13" i="33"/>
  <c r="HJ13" i="33"/>
  <c r="HK13" i="33"/>
  <c r="HL13" i="33"/>
  <c r="HM13" i="33"/>
  <c r="HN13" i="33"/>
  <c r="HO13" i="33"/>
  <c r="HP13" i="33"/>
  <c r="HQ13" i="33"/>
  <c r="HR13" i="33"/>
  <c r="HS13" i="33"/>
  <c r="HT13" i="33"/>
  <c r="HU13" i="33"/>
  <c r="HV13" i="33"/>
  <c r="HW13" i="33"/>
  <c r="HX13" i="33"/>
  <c r="HY13" i="33"/>
  <c r="HZ13" i="33"/>
  <c r="IA13" i="33"/>
  <c r="IB13" i="33"/>
  <c r="IC13" i="33"/>
  <c r="ID13" i="33"/>
  <c r="IE13" i="33"/>
  <c r="IF13" i="33"/>
  <c r="IG13" i="33"/>
  <c r="IH13" i="33"/>
  <c r="II13" i="33"/>
  <c r="IJ13" i="33"/>
  <c r="IK13" i="33"/>
  <c r="IL13" i="33"/>
  <c r="IM13" i="33"/>
  <c r="IN13" i="33"/>
  <c r="IO13" i="33"/>
  <c r="IP13" i="33"/>
  <c r="IQ13" i="33"/>
  <c r="IR13" i="33"/>
  <c r="IS13" i="33"/>
  <c r="IT13" i="33"/>
  <c r="IU13" i="33"/>
  <c r="IV13" i="33"/>
  <c r="A12" i="33"/>
  <c r="B12" i="33"/>
  <c r="C12" i="33"/>
  <c r="D12" i="33"/>
  <c r="E12" i="33"/>
  <c r="F12" i="33"/>
  <c r="G12" i="33"/>
  <c r="H12" i="33"/>
  <c r="I12" i="33"/>
  <c r="J12" i="33"/>
  <c r="K12" i="33"/>
  <c r="L12" i="33"/>
  <c r="M12" i="33"/>
  <c r="N12" i="33"/>
  <c r="O12" i="33"/>
  <c r="P12" i="33"/>
  <c r="Q12" i="33"/>
  <c r="R12" i="33"/>
  <c r="S12" i="33"/>
  <c r="T12" i="33"/>
  <c r="U12" i="33"/>
  <c r="V12" i="33"/>
  <c r="W12" i="33"/>
  <c r="X12" i="33"/>
  <c r="Y12" i="33"/>
  <c r="Z12" i="33"/>
  <c r="AA12" i="33"/>
  <c r="AB12" i="33"/>
  <c r="AC12" i="33"/>
  <c r="AD12" i="33"/>
  <c r="AE12" i="33"/>
  <c r="AF12" i="33"/>
  <c r="AG12" i="33"/>
  <c r="AH12" i="33"/>
  <c r="AI12" i="33"/>
  <c r="AJ12" i="33"/>
  <c r="AK12" i="33"/>
  <c r="AL12" i="33"/>
  <c r="AM12" i="33"/>
  <c r="AN12" i="33"/>
  <c r="AO12" i="33"/>
  <c r="AP12" i="33"/>
  <c r="AQ12" i="33"/>
  <c r="AR12" i="33"/>
  <c r="AS12" i="33"/>
  <c r="AT12" i="33"/>
  <c r="AU12" i="33"/>
  <c r="AV12" i="33"/>
  <c r="AW12" i="33"/>
  <c r="AX12" i="33"/>
  <c r="AY12" i="33"/>
  <c r="AZ12" i="33"/>
  <c r="BA12" i="33"/>
  <c r="BB12" i="33"/>
  <c r="BC12" i="33"/>
  <c r="BD12" i="33"/>
  <c r="BE12" i="33"/>
  <c r="BF12" i="33"/>
  <c r="BG12" i="33"/>
  <c r="BH12" i="33"/>
  <c r="BI12" i="33"/>
  <c r="BJ12" i="33"/>
  <c r="BK12" i="33"/>
  <c r="BL12" i="33"/>
  <c r="BM12" i="33"/>
  <c r="BN12" i="33"/>
  <c r="BO12" i="33"/>
  <c r="BP12" i="33"/>
  <c r="BQ12" i="33"/>
  <c r="BR12" i="33"/>
  <c r="BS12" i="33"/>
  <c r="BT12" i="33"/>
  <c r="BU12" i="33"/>
  <c r="BV12" i="33"/>
  <c r="BW12" i="33"/>
  <c r="BX12" i="33"/>
  <c r="BY12" i="33"/>
  <c r="BZ12" i="33"/>
  <c r="CA12" i="33"/>
  <c r="CB12" i="33"/>
  <c r="CC12" i="33"/>
  <c r="CD12" i="33"/>
  <c r="CE12" i="33"/>
  <c r="CF12" i="33"/>
  <c r="CG12" i="33"/>
  <c r="CH12" i="33"/>
  <c r="CI12" i="33"/>
  <c r="CJ12" i="33"/>
  <c r="CK12" i="33"/>
  <c r="CL12" i="33"/>
  <c r="CM12" i="33"/>
  <c r="CN12" i="33"/>
  <c r="CO12" i="33"/>
  <c r="CP12" i="33"/>
  <c r="CQ12" i="33"/>
  <c r="CR12" i="33"/>
  <c r="CS12" i="33"/>
  <c r="CT12" i="33"/>
  <c r="CU12" i="33"/>
  <c r="CV12" i="33"/>
  <c r="CW12" i="33"/>
  <c r="CX12" i="33"/>
  <c r="CY12" i="33"/>
  <c r="CZ12" i="33"/>
  <c r="DA12" i="33"/>
  <c r="DB12" i="33"/>
  <c r="DC12" i="33"/>
  <c r="DD12" i="33"/>
  <c r="DE12" i="33"/>
  <c r="DF12" i="33"/>
  <c r="DG12" i="33"/>
  <c r="DH12" i="33"/>
  <c r="DI12" i="33"/>
  <c r="DJ12" i="33"/>
  <c r="DK12" i="33"/>
  <c r="DL12" i="33"/>
  <c r="DM12" i="33"/>
  <c r="DN12" i="33"/>
  <c r="DO12" i="33"/>
  <c r="DP12" i="33"/>
  <c r="DQ12" i="33"/>
  <c r="DR12" i="33"/>
  <c r="DS12" i="33"/>
  <c r="DT12" i="33"/>
  <c r="DU12" i="33"/>
  <c r="DV12" i="33"/>
  <c r="DW12" i="33"/>
  <c r="DX12" i="33"/>
  <c r="DY12" i="33"/>
  <c r="DZ12" i="33"/>
  <c r="EA12" i="33"/>
  <c r="EB12" i="33"/>
  <c r="EC12" i="33"/>
  <c r="ED12" i="33"/>
  <c r="EE12" i="33"/>
  <c r="EF12" i="33"/>
  <c r="EG12" i="33"/>
  <c r="EH12" i="33"/>
  <c r="EI12" i="33"/>
  <c r="EJ12" i="33"/>
  <c r="EK12" i="33"/>
  <c r="EL12" i="33"/>
  <c r="EM12" i="33"/>
  <c r="EN12" i="33"/>
  <c r="EO12" i="33"/>
  <c r="EP12" i="33"/>
  <c r="EQ12" i="33"/>
  <c r="ER12" i="33"/>
  <c r="ES12" i="33"/>
  <c r="ET12" i="33"/>
  <c r="EU12" i="33"/>
  <c r="EV12" i="33"/>
  <c r="EW12" i="33"/>
  <c r="EX12" i="33"/>
  <c r="EY12" i="33"/>
  <c r="EZ12" i="33"/>
  <c r="FA12" i="33"/>
  <c r="FB12" i="33"/>
  <c r="FC12" i="33"/>
  <c r="FD12" i="33"/>
  <c r="FE12" i="33"/>
  <c r="FF12" i="33"/>
  <c r="FG12" i="33"/>
  <c r="FH12" i="33"/>
  <c r="FI12" i="33"/>
  <c r="FJ12" i="33"/>
  <c r="FK12" i="33"/>
  <c r="FL12" i="33"/>
  <c r="FM12" i="33"/>
  <c r="FN12" i="33"/>
  <c r="FO12" i="33"/>
  <c r="FP12" i="33"/>
  <c r="FQ12" i="33"/>
  <c r="FR12" i="33"/>
  <c r="FS12" i="33"/>
  <c r="FT12" i="33"/>
  <c r="FU12" i="33"/>
  <c r="FV12" i="33"/>
  <c r="FW12" i="33"/>
  <c r="FX12" i="33"/>
  <c r="FY12" i="33"/>
  <c r="FZ12" i="33"/>
  <c r="GA12" i="33"/>
  <c r="GB12" i="33"/>
  <c r="GC12" i="33"/>
  <c r="GD12" i="33"/>
  <c r="GE12" i="33"/>
  <c r="GF12" i="33"/>
  <c r="GG12" i="33"/>
  <c r="GH12" i="33"/>
  <c r="GI12" i="33"/>
  <c r="GJ12" i="33"/>
  <c r="GK12" i="33"/>
  <c r="GL12" i="33"/>
  <c r="GM12" i="33"/>
  <c r="GN12" i="33"/>
  <c r="GO12" i="33"/>
  <c r="GP12" i="33"/>
  <c r="GQ12" i="33"/>
  <c r="GR12" i="33"/>
  <c r="GS12" i="33"/>
  <c r="GT12" i="33"/>
  <c r="GU12" i="33"/>
  <c r="GV12" i="33"/>
  <c r="GW12" i="33"/>
  <c r="GX12" i="33"/>
  <c r="GY12" i="33"/>
  <c r="GZ12" i="33"/>
  <c r="HA12" i="33"/>
  <c r="HB12" i="33"/>
  <c r="HC12" i="33"/>
  <c r="HD12" i="33"/>
  <c r="HE12" i="33"/>
  <c r="HF12" i="33"/>
  <c r="HG12" i="33"/>
  <c r="HH12" i="33"/>
  <c r="HI12" i="33"/>
  <c r="HJ12" i="33"/>
  <c r="HK12" i="33"/>
  <c r="HL12" i="33"/>
  <c r="HM12" i="33"/>
  <c r="HN12" i="33"/>
  <c r="HO12" i="33"/>
  <c r="HP12" i="33"/>
  <c r="HQ12" i="33"/>
  <c r="HR12" i="33"/>
  <c r="HS12" i="33"/>
  <c r="HT12" i="33"/>
  <c r="HU12" i="33"/>
  <c r="HV12" i="33"/>
  <c r="HW12" i="33"/>
  <c r="HX12" i="33"/>
  <c r="HY12" i="33"/>
  <c r="HZ12" i="33"/>
  <c r="IA12" i="33"/>
  <c r="IB12" i="33"/>
  <c r="IC12" i="33"/>
  <c r="ID12" i="33"/>
  <c r="IE12" i="33"/>
  <c r="IF12" i="33"/>
  <c r="IG12" i="33"/>
  <c r="IH12" i="33"/>
  <c r="II12" i="33"/>
  <c r="IJ12" i="33"/>
  <c r="IK12" i="33"/>
  <c r="IL12" i="33"/>
  <c r="IM12" i="33"/>
  <c r="IN12" i="33"/>
  <c r="IO12" i="33"/>
  <c r="IP12" i="33"/>
  <c r="IQ12" i="33"/>
  <c r="IR12" i="33"/>
  <c r="IS12" i="33"/>
  <c r="IT12" i="33"/>
  <c r="IU12" i="33"/>
  <c r="IV12" i="33"/>
  <c r="A11" i="33"/>
  <c r="B11" i="33"/>
  <c r="C11" i="33"/>
  <c r="D11" i="33"/>
  <c r="E11" i="33"/>
  <c r="G11" i="33"/>
  <c r="H11" i="33"/>
  <c r="I11" i="33"/>
  <c r="J11" i="33"/>
  <c r="K11" i="33"/>
  <c r="L11" i="33"/>
  <c r="M11" i="33"/>
  <c r="N11" i="33"/>
  <c r="O11" i="33"/>
  <c r="P11" i="33"/>
  <c r="Q11" i="33"/>
  <c r="R11" i="33"/>
  <c r="S11" i="33"/>
  <c r="T11" i="33"/>
  <c r="U11" i="33"/>
  <c r="V11" i="33"/>
  <c r="W11" i="33"/>
  <c r="X11" i="33"/>
  <c r="Y11" i="33"/>
  <c r="Z11" i="33"/>
  <c r="AA11" i="33"/>
  <c r="AB11" i="33"/>
  <c r="AC11" i="33"/>
  <c r="AD11" i="33"/>
  <c r="AE11" i="33"/>
  <c r="AF11" i="33"/>
  <c r="AG11" i="33"/>
  <c r="AH11" i="33"/>
  <c r="AI11" i="33"/>
  <c r="AJ11" i="33"/>
  <c r="AK11" i="33"/>
  <c r="AL11" i="33"/>
  <c r="AM11" i="33"/>
  <c r="AN11" i="33"/>
  <c r="AO11" i="33"/>
  <c r="AP11" i="33"/>
  <c r="AQ11" i="33"/>
  <c r="AR11" i="33"/>
  <c r="AS11" i="33"/>
  <c r="AT11" i="33"/>
  <c r="AU11" i="33"/>
  <c r="AV11" i="33"/>
  <c r="AW11" i="33"/>
  <c r="AX11" i="33"/>
  <c r="AY11" i="33"/>
  <c r="AZ11" i="33"/>
  <c r="BA11" i="33"/>
  <c r="BB11" i="33"/>
  <c r="BC11" i="33"/>
  <c r="BD11" i="33"/>
  <c r="BE11" i="33"/>
  <c r="BF11" i="33"/>
  <c r="BG11" i="33"/>
  <c r="BH11" i="33"/>
  <c r="BI11" i="33"/>
  <c r="BJ11" i="33"/>
  <c r="BK11" i="33"/>
  <c r="BL11" i="33"/>
  <c r="BM11" i="33"/>
  <c r="BN11" i="33"/>
  <c r="BO11" i="33"/>
  <c r="BP11" i="33"/>
  <c r="BQ11" i="33"/>
  <c r="BR11" i="33"/>
  <c r="BS11" i="33"/>
  <c r="BT11" i="33"/>
  <c r="BU11" i="33"/>
  <c r="BV11" i="33"/>
  <c r="BW11" i="33"/>
  <c r="BX11" i="33"/>
  <c r="BY11" i="33"/>
  <c r="BZ11" i="33"/>
  <c r="CA11" i="33"/>
  <c r="CB11" i="33"/>
  <c r="CC11" i="33"/>
  <c r="CD11" i="33"/>
  <c r="CE11" i="33"/>
  <c r="CF11" i="33"/>
  <c r="CG11" i="33"/>
  <c r="CH11" i="33"/>
  <c r="CI11" i="33"/>
  <c r="CJ11" i="33"/>
  <c r="CK11" i="33"/>
  <c r="CL11" i="33"/>
  <c r="CM11" i="33"/>
  <c r="CN11" i="33"/>
  <c r="CO11" i="33"/>
  <c r="CP11" i="33"/>
  <c r="CQ11" i="33"/>
  <c r="CR11" i="33"/>
  <c r="CS11" i="33"/>
  <c r="CT11" i="33"/>
  <c r="CU11" i="33"/>
  <c r="CV11" i="33"/>
  <c r="CW11" i="33"/>
  <c r="CX11" i="33"/>
  <c r="CY11" i="33"/>
  <c r="CZ11" i="33"/>
  <c r="DA11" i="33"/>
  <c r="DB11" i="33"/>
  <c r="DC11" i="33"/>
  <c r="DD11" i="33"/>
  <c r="DE11" i="33"/>
  <c r="DF11" i="33"/>
  <c r="DG11" i="33"/>
  <c r="DH11" i="33"/>
  <c r="DI11" i="33"/>
  <c r="DJ11" i="33"/>
  <c r="DK11" i="33"/>
  <c r="DL11" i="33"/>
  <c r="DM11" i="33"/>
  <c r="DN11" i="33"/>
  <c r="DO11" i="33"/>
  <c r="DP11" i="33"/>
  <c r="DQ11" i="33"/>
  <c r="DR11" i="33"/>
  <c r="DS11" i="33"/>
  <c r="DT11" i="33"/>
  <c r="DU11" i="33"/>
  <c r="DV11" i="33"/>
  <c r="DW11" i="33"/>
  <c r="DX11" i="33"/>
  <c r="DY11" i="33"/>
  <c r="DZ11" i="33"/>
  <c r="EA11" i="33"/>
  <c r="EB11" i="33"/>
  <c r="EC11" i="33"/>
  <c r="ED11" i="33"/>
  <c r="EE11" i="33"/>
  <c r="EF11" i="33"/>
  <c r="EG11" i="33"/>
  <c r="EH11" i="33"/>
  <c r="EI11" i="33"/>
  <c r="EJ11" i="33"/>
  <c r="EK11" i="33"/>
  <c r="EL11" i="33"/>
  <c r="EM11" i="33"/>
  <c r="EN11" i="33"/>
  <c r="EO11" i="33"/>
  <c r="EP11" i="33"/>
  <c r="EQ11" i="33"/>
  <c r="ER11" i="33"/>
  <c r="ES11" i="33"/>
  <c r="ET11" i="33"/>
  <c r="EU11" i="33"/>
  <c r="EV11" i="33"/>
  <c r="EW11" i="33"/>
  <c r="EX11" i="33"/>
  <c r="EY11" i="33"/>
  <c r="EZ11" i="33"/>
  <c r="FA11" i="33"/>
  <c r="FB11" i="33"/>
  <c r="FC11" i="33"/>
  <c r="FD11" i="33"/>
  <c r="FE11" i="33"/>
  <c r="FF11" i="33"/>
  <c r="FG11" i="33"/>
  <c r="FH11" i="33"/>
  <c r="FI11" i="33"/>
  <c r="FJ11" i="33"/>
  <c r="FK11" i="33"/>
  <c r="FL11" i="33"/>
  <c r="FM11" i="33"/>
  <c r="FN11" i="33"/>
  <c r="FO11" i="33"/>
  <c r="FP11" i="33"/>
  <c r="FQ11" i="33"/>
  <c r="FR11" i="33"/>
  <c r="FS11" i="33"/>
  <c r="FT11" i="33"/>
  <c r="FU11" i="33"/>
  <c r="FV11" i="33"/>
  <c r="FW11" i="33"/>
  <c r="FX11" i="33"/>
  <c r="FY11" i="33"/>
  <c r="FZ11" i="33"/>
  <c r="GA11" i="33"/>
  <c r="GB11" i="33"/>
  <c r="GC11" i="33"/>
  <c r="GD11" i="33"/>
  <c r="GE11" i="33"/>
  <c r="GF11" i="33"/>
  <c r="GG11" i="33"/>
  <c r="GH11" i="33"/>
  <c r="GI11" i="33"/>
  <c r="GJ11" i="33"/>
  <c r="GK11" i="33"/>
  <c r="GL11" i="33"/>
  <c r="GM11" i="33"/>
  <c r="GN11" i="33"/>
  <c r="GO11" i="33"/>
  <c r="GP11" i="33"/>
  <c r="GQ11" i="33"/>
  <c r="GR11" i="33"/>
  <c r="GS11" i="33"/>
  <c r="GT11" i="33"/>
  <c r="GU11" i="33"/>
  <c r="GV11" i="33"/>
  <c r="GW11" i="33"/>
  <c r="GX11" i="33"/>
  <c r="GY11" i="33"/>
  <c r="GZ11" i="33"/>
  <c r="HA11" i="33"/>
  <c r="HB11" i="33"/>
  <c r="HC11" i="33"/>
  <c r="HD11" i="33"/>
  <c r="HE11" i="33"/>
  <c r="HF11" i="33"/>
  <c r="HG11" i="33"/>
  <c r="HH11" i="33"/>
  <c r="HI11" i="33"/>
  <c r="HJ11" i="33"/>
  <c r="HK11" i="33"/>
  <c r="HL11" i="33"/>
  <c r="HM11" i="33"/>
  <c r="HN11" i="33"/>
  <c r="HO11" i="33"/>
  <c r="HP11" i="33"/>
  <c r="HQ11" i="33"/>
  <c r="HR11" i="33"/>
  <c r="HS11" i="33"/>
  <c r="HT11" i="33"/>
  <c r="HU11" i="33"/>
  <c r="HV11" i="33"/>
  <c r="HW11" i="33"/>
  <c r="HX11" i="33"/>
  <c r="HY11" i="33"/>
  <c r="HZ11" i="33"/>
  <c r="IA11" i="33"/>
  <c r="IB11" i="33"/>
  <c r="IC11" i="33"/>
  <c r="ID11" i="33"/>
  <c r="IE11" i="33"/>
  <c r="IF11" i="33"/>
  <c r="IG11" i="33"/>
  <c r="IH11" i="33"/>
  <c r="II11" i="33"/>
  <c r="IJ11" i="33"/>
  <c r="IK11" i="33"/>
  <c r="IL11" i="33"/>
  <c r="IM11" i="33"/>
  <c r="IN11" i="33"/>
  <c r="IO11" i="33"/>
  <c r="IP11" i="33"/>
  <c r="IQ11" i="33"/>
  <c r="IR11" i="33"/>
  <c r="IS11" i="33"/>
  <c r="IT11" i="33"/>
  <c r="IU11" i="33"/>
  <c r="IV11" i="33"/>
  <c r="A10" i="33"/>
  <c r="B10" i="33"/>
  <c r="C10" i="33"/>
  <c r="D10" i="33"/>
  <c r="E10" i="33"/>
  <c r="F10" i="33"/>
  <c r="G10" i="33"/>
  <c r="H10" i="33"/>
  <c r="I10" i="33"/>
  <c r="J10" i="33"/>
  <c r="K10" i="33"/>
  <c r="L10" i="33"/>
  <c r="M10" i="33"/>
  <c r="N10" i="33"/>
  <c r="O10" i="33"/>
  <c r="P10" i="33"/>
  <c r="Q10" i="33"/>
  <c r="R10" i="33"/>
  <c r="S10" i="33"/>
  <c r="T10" i="33"/>
  <c r="U10" i="33"/>
  <c r="V10" i="33"/>
  <c r="W10" i="33"/>
  <c r="X10" i="33"/>
  <c r="Y10" i="33"/>
  <c r="Z10" i="33"/>
  <c r="AA10" i="33"/>
  <c r="AB10" i="33"/>
  <c r="AC10" i="33"/>
  <c r="AD10" i="33"/>
  <c r="AE10" i="33"/>
  <c r="AF10" i="33"/>
  <c r="AG10" i="33"/>
  <c r="AH10" i="33"/>
  <c r="AI10" i="33"/>
  <c r="AJ10" i="33"/>
  <c r="AK10" i="33"/>
  <c r="AL10" i="33"/>
  <c r="AM10" i="33"/>
  <c r="AN10" i="33"/>
  <c r="AO10" i="33"/>
  <c r="AP10" i="33"/>
  <c r="AQ10" i="33"/>
  <c r="AR10" i="33"/>
  <c r="AS10" i="33"/>
  <c r="AT10" i="33"/>
  <c r="AU10" i="33"/>
  <c r="AV10" i="33"/>
  <c r="AW10" i="33"/>
  <c r="AX10" i="33"/>
  <c r="AY10" i="33"/>
  <c r="AZ10" i="33"/>
  <c r="BA10" i="33"/>
  <c r="BB10" i="33"/>
  <c r="BC10" i="33"/>
  <c r="BD10" i="33"/>
  <c r="BE10" i="33"/>
  <c r="BF10" i="33"/>
  <c r="BG10" i="33"/>
  <c r="BH10" i="33"/>
  <c r="BI10" i="33"/>
  <c r="BJ10" i="33"/>
  <c r="BK10" i="33"/>
  <c r="BL10" i="33"/>
  <c r="BM10" i="33"/>
  <c r="BN10" i="33"/>
  <c r="BO10" i="33"/>
  <c r="BP10" i="33"/>
  <c r="BQ10" i="33"/>
  <c r="BR10" i="33"/>
  <c r="BS10" i="33"/>
  <c r="BT10" i="33"/>
  <c r="BU10" i="33"/>
  <c r="BV10" i="33"/>
  <c r="BW10" i="33"/>
  <c r="BX10" i="33"/>
  <c r="BY10" i="33"/>
  <c r="BZ10" i="33"/>
  <c r="CA10" i="33"/>
  <c r="CB10" i="33"/>
  <c r="CC10" i="33"/>
  <c r="CD10" i="33"/>
  <c r="CE10" i="33"/>
  <c r="CF10" i="33"/>
  <c r="CG10" i="33"/>
  <c r="CH10" i="33"/>
  <c r="CI10" i="33"/>
  <c r="CJ10" i="33"/>
  <c r="CK10" i="33"/>
  <c r="CL10" i="33"/>
  <c r="CM10" i="33"/>
  <c r="CN10" i="33"/>
  <c r="CO10" i="33"/>
  <c r="CP10" i="33"/>
  <c r="CQ10" i="33"/>
  <c r="CR10" i="33"/>
  <c r="CS10" i="33"/>
  <c r="CT10" i="33"/>
  <c r="CU10" i="33"/>
  <c r="CV10" i="33"/>
  <c r="CW10" i="33"/>
  <c r="CX10" i="33"/>
  <c r="CY10" i="33"/>
  <c r="CZ10" i="33"/>
  <c r="DA10" i="33"/>
  <c r="DB10" i="33"/>
  <c r="DC10" i="33"/>
  <c r="DD10" i="33"/>
  <c r="DE10" i="33"/>
  <c r="DF10" i="33"/>
  <c r="DG10" i="33"/>
  <c r="DH10" i="33"/>
  <c r="DI10" i="33"/>
  <c r="DJ10" i="33"/>
  <c r="DK10" i="33"/>
  <c r="DL10" i="33"/>
  <c r="DM10" i="33"/>
  <c r="DN10" i="33"/>
  <c r="DO10" i="33"/>
  <c r="DP10" i="33"/>
  <c r="DQ10" i="33"/>
  <c r="DR10" i="33"/>
  <c r="DS10" i="33"/>
  <c r="DT10" i="33"/>
  <c r="DU10" i="33"/>
  <c r="DV10" i="33"/>
  <c r="DW10" i="33"/>
  <c r="DX10" i="33"/>
  <c r="DY10" i="33"/>
  <c r="DZ10" i="33"/>
  <c r="EA10" i="33"/>
  <c r="EB10" i="33"/>
  <c r="EC10" i="33"/>
  <c r="ED10" i="33"/>
  <c r="EE10" i="33"/>
  <c r="EF10" i="33"/>
  <c r="EG10" i="33"/>
  <c r="EH10" i="33"/>
  <c r="EI10" i="33"/>
  <c r="EJ10" i="33"/>
  <c r="EK10" i="33"/>
  <c r="EL10" i="33"/>
  <c r="EM10" i="33"/>
  <c r="EN10" i="33"/>
  <c r="EO10" i="33"/>
  <c r="EP10" i="33"/>
  <c r="EQ10" i="33"/>
  <c r="ER10" i="33"/>
  <c r="ES10" i="33"/>
  <c r="ET10" i="33"/>
  <c r="EU10" i="33"/>
  <c r="EV10" i="33"/>
  <c r="EW10" i="33"/>
  <c r="EX10" i="33"/>
  <c r="EY10" i="33"/>
  <c r="EZ10" i="33"/>
  <c r="FA10" i="33"/>
  <c r="FB10" i="33"/>
  <c r="FC10" i="33"/>
  <c r="FD10" i="33"/>
  <c r="FE10" i="33"/>
  <c r="FF10" i="33"/>
  <c r="FG10" i="33"/>
  <c r="FH10" i="33"/>
  <c r="FI10" i="33"/>
  <c r="FJ10" i="33"/>
  <c r="FK10" i="33"/>
  <c r="FL10" i="33"/>
  <c r="FM10" i="33"/>
  <c r="FN10" i="33"/>
  <c r="FO10" i="33"/>
  <c r="FP10" i="33"/>
  <c r="FQ10" i="33"/>
  <c r="FR10" i="33"/>
  <c r="FS10" i="33"/>
  <c r="FT10" i="33"/>
  <c r="FU10" i="33"/>
  <c r="FV10" i="33"/>
  <c r="FW10" i="33"/>
  <c r="FX10" i="33"/>
  <c r="FY10" i="33"/>
  <c r="FZ10" i="33"/>
  <c r="GA10" i="33"/>
  <c r="GB10" i="33"/>
  <c r="GC10" i="33"/>
  <c r="GD10" i="33"/>
  <c r="GE10" i="33"/>
  <c r="GF10" i="33"/>
  <c r="GG10" i="33"/>
  <c r="GH10" i="33"/>
  <c r="GI10" i="33"/>
  <c r="GJ10" i="33"/>
  <c r="GK10" i="33"/>
  <c r="GL10" i="33"/>
  <c r="GM10" i="33"/>
  <c r="GN10" i="33"/>
  <c r="GO10" i="33"/>
  <c r="GP10" i="33"/>
  <c r="GQ10" i="33"/>
  <c r="GR10" i="33"/>
  <c r="GS10" i="33"/>
  <c r="GT10" i="33"/>
  <c r="GU10" i="33"/>
  <c r="GV10" i="33"/>
  <c r="GW10" i="33"/>
  <c r="GX10" i="33"/>
  <c r="GY10" i="33"/>
  <c r="GZ10" i="33"/>
  <c r="HA10" i="33"/>
  <c r="HB10" i="33"/>
  <c r="HC10" i="33"/>
  <c r="HD10" i="33"/>
  <c r="HE10" i="33"/>
  <c r="HF10" i="33"/>
  <c r="HG10" i="33"/>
  <c r="HH10" i="33"/>
  <c r="HI10" i="33"/>
  <c r="HJ10" i="33"/>
  <c r="HK10" i="33"/>
  <c r="HL10" i="33"/>
  <c r="HM10" i="33"/>
  <c r="HN10" i="33"/>
  <c r="HO10" i="33"/>
  <c r="HP10" i="33"/>
  <c r="HQ10" i="33"/>
  <c r="HR10" i="33"/>
  <c r="HS10" i="33"/>
  <c r="HT10" i="33"/>
  <c r="HU10" i="33"/>
  <c r="HV10" i="33"/>
  <c r="HW10" i="33"/>
  <c r="HX10" i="33"/>
  <c r="HY10" i="33"/>
  <c r="HZ10" i="33"/>
  <c r="IA10" i="33"/>
  <c r="IB10" i="33"/>
  <c r="IC10" i="33"/>
  <c r="ID10" i="33"/>
  <c r="IE10" i="33"/>
  <c r="IF10" i="33"/>
  <c r="IG10" i="33"/>
  <c r="IH10" i="33"/>
  <c r="II10" i="33"/>
  <c r="IJ10" i="33"/>
  <c r="IK10" i="33"/>
  <c r="IL10" i="33"/>
  <c r="IM10" i="33"/>
  <c r="IN10" i="33"/>
  <c r="IO10" i="33"/>
  <c r="IP10" i="33"/>
  <c r="IQ10" i="33"/>
  <c r="IR10" i="33"/>
  <c r="IS10" i="33"/>
  <c r="IT10" i="33"/>
  <c r="IU10" i="33"/>
  <c r="IV10" i="33"/>
  <c r="A9" i="33"/>
  <c r="B9" i="33"/>
  <c r="C9" i="33"/>
  <c r="D9" i="33"/>
  <c r="E9" i="33"/>
  <c r="F9" i="33"/>
  <c r="G9" i="33"/>
  <c r="H9" i="33"/>
  <c r="I9" i="33"/>
  <c r="J9" i="33"/>
  <c r="K9" i="33"/>
  <c r="L9" i="33"/>
  <c r="M9" i="33"/>
  <c r="N9" i="33"/>
  <c r="O9" i="33"/>
  <c r="P9" i="33"/>
  <c r="Q9" i="33"/>
  <c r="R9" i="33"/>
  <c r="S9" i="33"/>
  <c r="T9" i="33"/>
  <c r="U9" i="33"/>
  <c r="V9" i="33"/>
  <c r="W9" i="33"/>
  <c r="X9" i="33"/>
  <c r="Y9" i="33"/>
  <c r="Z9" i="33"/>
  <c r="AA9" i="33"/>
  <c r="AB9" i="33"/>
  <c r="AC9" i="33"/>
  <c r="AD9" i="33"/>
  <c r="AE9" i="33"/>
  <c r="AF9" i="33"/>
  <c r="AG9" i="33"/>
  <c r="AH9" i="33"/>
  <c r="AI9" i="33"/>
  <c r="AJ9" i="33"/>
  <c r="AK9" i="33"/>
  <c r="AL9" i="33"/>
  <c r="AM9" i="33"/>
  <c r="AN9" i="33"/>
  <c r="AO9" i="33"/>
  <c r="AP9" i="33"/>
  <c r="AQ9" i="33"/>
  <c r="AR9" i="33"/>
  <c r="AS9" i="33"/>
  <c r="AT9" i="33"/>
  <c r="AU9" i="33"/>
  <c r="AV9" i="33"/>
  <c r="AW9" i="33"/>
  <c r="AX9" i="33"/>
  <c r="AY9" i="33"/>
  <c r="AZ9" i="33"/>
  <c r="BA9" i="33"/>
  <c r="BB9" i="33"/>
  <c r="BC9" i="33"/>
  <c r="BD9" i="33"/>
  <c r="BE9" i="33"/>
  <c r="BF9" i="33"/>
  <c r="BG9" i="33"/>
  <c r="BH9" i="33"/>
  <c r="BI9" i="33"/>
  <c r="BJ9" i="33"/>
  <c r="BK9" i="33"/>
  <c r="BL9" i="33"/>
  <c r="BM9" i="33"/>
  <c r="BN9" i="33"/>
  <c r="BO9" i="33"/>
  <c r="BP9" i="33"/>
  <c r="BQ9" i="33"/>
  <c r="BR9" i="33"/>
  <c r="BS9" i="33"/>
  <c r="BT9" i="33"/>
  <c r="BU9" i="33"/>
  <c r="BV9" i="33"/>
  <c r="BW9" i="33"/>
  <c r="BX9" i="33"/>
  <c r="BY9" i="33"/>
  <c r="BZ9" i="33"/>
  <c r="CA9" i="33"/>
  <c r="CB9" i="33"/>
  <c r="CC9" i="33"/>
  <c r="CD9" i="33"/>
  <c r="CE9" i="33"/>
  <c r="CF9" i="33"/>
  <c r="CG9" i="33"/>
  <c r="CH9" i="33"/>
  <c r="CI9" i="33"/>
  <c r="CJ9" i="33"/>
  <c r="CK9" i="33"/>
  <c r="CL9" i="33"/>
  <c r="CM9" i="33"/>
  <c r="CN9" i="33"/>
  <c r="CO9" i="33"/>
  <c r="CP9" i="33"/>
  <c r="CQ9" i="33"/>
  <c r="CR9" i="33"/>
  <c r="CS9" i="33"/>
  <c r="CT9" i="33"/>
  <c r="CU9" i="33"/>
  <c r="CV9" i="33"/>
  <c r="CW9" i="33"/>
  <c r="CX9" i="33"/>
  <c r="CY9" i="33"/>
  <c r="CZ9" i="33"/>
  <c r="DA9" i="33"/>
  <c r="DB9" i="33"/>
  <c r="DC9" i="33"/>
  <c r="DD9" i="33"/>
  <c r="DE9" i="33"/>
  <c r="DF9" i="33"/>
  <c r="DG9" i="33"/>
  <c r="DH9" i="33"/>
  <c r="DI9" i="33"/>
  <c r="DJ9" i="33"/>
  <c r="DK9" i="33"/>
  <c r="DL9" i="33"/>
  <c r="DM9" i="33"/>
  <c r="DN9" i="33"/>
  <c r="DO9" i="33"/>
  <c r="DP9" i="33"/>
  <c r="DQ9" i="33"/>
  <c r="DR9" i="33"/>
  <c r="DS9" i="33"/>
  <c r="DT9" i="33"/>
  <c r="DU9" i="33"/>
  <c r="DV9" i="33"/>
  <c r="DW9" i="33"/>
  <c r="DX9" i="33"/>
  <c r="DY9" i="33"/>
  <c r="DZ9" i="33"/>
  <c r="EA9" i="33"/>
  <c r="EB9" i="33"/>
  <c r="EC9" i="33"/>
  <c r="ED9" i="33"/>
  <c r="EE9" i="33"/>
  <c r="EF9" i="33"/>
  <c r="EG9" i="33"/>
  <c r="EH9" i="33"/>
  <c r="EI9" i="33"/>
  <c r="EJ9" i="33"/>
  <c r="EK9" i="33"/>
  <c r="EL9" i="33"/>
  <c r="EM9" i="33"/>
  <c r="EN9" i="33"/>
  <c r="EO9" i="33"/>
  <c r="EP9" i="33"/>
  <c r="EQ9" i="33"/>
  <c r="ER9" i="33"/>
  <c r="ES9" i="33"/>
  <c r="ET9" i="33"/>
  <c r="EU9" i="33"/>
  <c r="EV9" i="33"/>
  <c r="EW9" i="33"/>
  <c r="EX9" i="33"/>
  <c r="EY9" i="33"/>
  <c r="EZ9" i="33"/>
  <c r="FA9" i="33"/>
  <c r="FB9" i="33"/>
  <c r="FC9" i="33"/>
  <c r="FD9" i="33"/>
  <c r="FE9" i="33"/>
  <c r="FF9" i="33"/>
  <c r="FG9" i="33"/>
  <c r="FH9" i="33"/>
  <c r="FI9" i="33"/>
  <c r="FJ9" i="33"/>
  <c r="FK9" i="33"/>
  <c r="FL9" i="33"/>
  <c r="FM9" i="33"/>
  <c r="FN9" i="33"/>
  <c r="FO9" i="33"/>
  <c r="FP9" i="33"/>
  <c r="FQ9" i="33"/>
  <c r="FR9" i="33"/>
  <c r="FS9" i="33"/>
  <c r="FT9" i="33"/>
  <c r="FU9" i="33"/>
  <c r="FV9" i="33"/>
  <c r="FW9" i="33"/>
  <c r="FX9" i="33"/>
  <c r="FY9" i="33"/>
  <c r="FZ9" i="33"/>
  <c r="GA9" i="33"/>
  <c r="GB9" i="33"/>
  <c r="GC9" i="33"/>
  <c r="GD9" i="33"/>
  <c r="GE9" i="33"/>
  <c r="GF9" i="33"/>
  <c r="GG9" i="33"/>
  <c r="GH9" i="33"/>
  <c r="GI9" i="33"/>
  <c r="GJ9" i="33"/>
  <c r="GK9" i="33"/>
  <c r="GL9" i="33"/>
  <c r="GM9" i="33"/>
  <c r="GN9" i="33"/>
  <c r="GO9" i="33"/>
  <c r="GP9" i="33"/>
  <c r="GQ9" i="33"/>
  <c r="GR9" i="33"/>
  <c r="GS9" i="33"/>
  <c r="GT9" i="33"/>
  <c r="GU9" i="33"/>
  <c r="GV9" i="33"/>
  <c r="GW9" i="33"/>
  <c r="GX9" i="33"/>
  <c r="GY9" i="33"/>
  <c r="GZ9" i="33"/>
  <c r="HA9" i="33"/>
  <c r="HB9" i="33"/>
  <c r="HC9" i="33"/>
  <c r="HD9" i="33"/>
  <c r="HE9" i="33"/>
  <c r="HF9" i="33"/>
  <c r="HG9" i="33"/>
  <c r="HH9" i="33"/>
  <c r="HI9" i="33"/>
  <c r="HJ9" i="33"/>
  <c r="HK9" i="33"/>
  <c r="HL9" i="33"/>
  <c r="HM9" i="33"/>
  <c r="HN9" i="33"/>
  <c r="HO9" i="33"/>
  <c r="HP9" i="33"/>
  <c r="HQ9" i="33"/>
  <c r="HR9" i="33"/>
  <c r="HS9" i="33"/>
  <c r="HT9" i="33"/>
  <c r="HU9" i="33"/>
  <c r="HV9" i="33"/>
  <c r="HW9" i="33"/>
  <c r="HX9" i="33"/>
  <c r="HY9" i="33"/>
  <c r="HZ9" i="33"/>
  <c r="IA9" i="33"/>
  <c r="IB9" i="33"/>
  <c r="IC9" i="33"/>
  <c r="ID9" i="33"/>
  <c r="IE9" i="33"/>
  <c r="IF9" i="33"/>
  <c r="IG9" i="33"/>
  <c r="IH9" i="33"/>
  <c r="II9" i="33"/>
  <c r="IJ9" i="33"/>
  <c r="IK9" i="33"/>
  <c r="IL9" i="33"/>
  <c r="IM9" i="33"/>
  <c r="IN9" i="33"/>
  <c r="IO9" i="33"/>
  <c r="IP9" i="33"/>
  <c r="IQ9" i="33"/>
  <c r="IR9" i="33"/>
  <c r="IS9" i="33"/>
  <c r="IT9" i="33"/>
  <c r="IU9" i="33"/>
  <c r="IV9" i="33"/>
  <c r="A8" i="33"/>
  <c r="B8" i="33"/>
  <c r="C8" i="33"/>
  <c r="D8" i="33"/>
  <c r="E8" i="33"/>
  <c r="F8" i="33"/>
  <c r="G8" i="33"/>
  <c r="H8" i="33"/>
  <c r="I8" i="33"/>
  <c r="J8" i="33"/>
  <c r="K8" i="33"/>
  <c r="L8" i="33"/>
  <c r="M8" i="33"/>
  <c r="N8" i="33"/>
  <c r="O8" i="33"/>
  <c r="P8" i="33"/>
  <c r="Q8" i="33"/>
  <c r="R8" i="33"/>
  <c r="S8" i="33"/>
  <c r="T8" i="33"/>
  <c r="U8" i="33"/>
  <c r="V8" i="33"/>
  <c r="W8" i="33"/>
  <c r="X8" i="33"/>
  <c r="Y8" i="33"/>
  <c r="Z8" i="33"/>
  <c r="AA8" i="33"/>
  <c r="AB8" i="33"/>
  <c r="AC8" i="33"/>
  <c r="AD8" i="33"/>
  <c r="AE8" i="33"/>
  <c r="AF8" i="33"/>
  <c r="AG8" i="33"/>
  <c r="AH8" i="33"/>
  <c r="AI8" i="33"/>
  <c r="AJ8" i="33"/>
  <c r="AK8" i="33"/>
  <c r="AL8" i="33"/>
  <c r="AM8" i="33"/>
  <c r="AN8" i="33"/>
  <c r="AO8" i="33"/>
  <c r="AP8" i="33"/>
  <c r="AQ8" i="33"/>
  <c r="AR8" i="33"/>
  <c r="AS8" i="33"/>
  <c r="AT8" i="33"/>
  <c r="AU8" i="33"/>
  <c r="AV8" i="33"/>
  <c r="AW8" i="33"/>
  <c r="AX8" i="33"/>
  <c r="AY8" i="33"/>
  <c r="AZ8" i="33"/>
  <c r="BA8" i="33"/>
  <c r="BB8" i="33"/>
  <c r="BC8" i="33"/>
  <c r="BD8" i="33"/>
  <c r="BE8" i="33"/>
  <c r="BF8" i="33"/>
  <c r="BG8" i="33"/>
  <c r="BH8" i="33"/>
  <c r="BI8" i="33"/>
  <c r="BJ8" i="33"/>
  <c r="BK8" i="33"/>
  <c r="BL8" i="33"/>
  <c r="BM8" i="33"/>
  <c r="BN8" i="33"/>
  <c r="BO8" i="33"/>
  <c r="BP8" i="33"/>
  <c r="BQ8" i="33"/>
  <c r="BR8" i="33"/>
  <c r="BS8" i="33"/>
  <c r="BT8" i="33"/>
  <c r="BU8" i="33"/>
  <c r="BV8" i="33"/>
  <c r="BW8" i="33"/>
  <c r="BX8" i="33"/>
  <c r="BY8" i="33"/>
  <c r="BZ8" i="33"/>
  <c r="CA8" i="33"/>
  <c r="CB8" i="33"/>
  <c r="CC8" i="33"/>
  <c r="CD8" i="33"/>
  <c r="CE8" i="33"/>
  <c r="CF8" i="33"/>
  <c r="CG8" i="33"/>
  <c r="CH8" i="33"/>
  <c r="CI8" i="33"/>
  <c r="CJ8" i="33"/>
  <c r="CK8" i="33"/>
  <c r="CL8" i="33"/>
  <c r="CM8" i="33"/>
  <c r="CN8" i="33"/>
  <c r="CO8" i="33"/>
  <c r="CP8" i="33"/>
  <c r="CQ8" i="33"/>
  <c r="CR8" i="33"/>
  <c r="CS8" i="33"/>
  <c r="CT8" i="33"/>
  <c r="CU8" i="33"/>
  <c r="CV8" i="33"/>
  <c r="CW8" i="33"/>
  <c r="CX8" i="33"/>
  <c r="CY8" i="33"/>
  <c r="CZ8" i="33"/>
  <c r="DA8" i="33"/>
  <c r="DB8" i="33"/>
  <c r="DC8" i="33"/>
  <c r="DD8" i="33"/>
  <c r="DE8" i="33"/>
  <c r="DF8" i="33"/>
  <c r="DG8" i="33"/>
  <c r="DH8" i="33"/>
  <c r="DI8" i="33"/>
  <c r="DJ8" i="33"/>
  <c r="DK8" i="33"/>
  <c r="DL8" i="33"/>
  <c r="DM8" i="33"/>
  <c r="DN8" i="33"/>
  <c r="DO8" i="33"/>
  <c r="DP8" i="33"/>
  <c r="DQ8" i="33"/>
  <c r="DR8" i="33"/>
  <c r="DS8" i="33"/>
  <c r="DT8" i="33"/>
  <c r="DU8" i="33"/>
  <c r="DV8" i="33"/>
  <c r="DW8" i="33"/>
  <c r="DX8" i="33"/>
  <c r="DY8" i="33"/>
  <c r="DZ8" i="33"/>
  <c r="EA8" i="33"/>
  <c r="EB8" i="33"/>
  <c r="EC8" i="33"/>
  <c r="ED8" i="33"/>
  <c r="EE8" i="33"/>
  <c r="EF8" i="33"/>
  <c r="EG8" i="33"/>
  <c r="EH8" i="33"/>
  <c r="EI8" i="33"/>
  <c r="EJ8" i="33"/>
  <c r="EK8" i="33"/>
  <c r="EL8" i="33"/>
  <c r="EM8" i="33"/>
  <c r="EN8" i="33"/>
  <c r="EO8" i="33"/>
  <c r="EP8" i="33"/>
  <c r="EQ8" i="33"/>
  <c r="ER8" i="33"/>
  <c r="ES8" i="33"/>
  <c r="ET8" i="33"/>
  <c r="EU8" i="33"/>
  <c r="EV8" i="33"/>
  <c r="EW8" i="33"/>
  <c r="EX8" i="33"/>
  <c r="EY8" i="33"/>
  <c r="EZ8" i="33"/>
  <c r="FA8" i="33"/>
  <c r="FB8" i="33"/>
  <c r="FC8" i="33"/>
  <c r="FD8" i="33"/>
  <c r="FE8" i="33"/>
  <c r="FF8" i="33"/>
  <c r="FG8" i="33"/>
  <c r="FH8" i="33"/>
  <c r="FI8" i="33"/>
  <c r="FJ8" i="33"/>
  <c r="FK8" i="33"/>
  <c r="FL8" i="33"/>
  <c r="FM8" i="33"/>
  <c r="FN8" i="33"/>
  <c r="FO8" i="33"/>
  <c r="FP8" i="33"/>
  <c r="FQ8" i="33"/>
  <c r="FR8" i="33"/>
  <c r="FS8" i="33"/>
  <c r="FT8" i="33"/>
  <c r="FU8" i="33"/>
  <c r="FV8" i="33"/>
  <c r="FW8" i="33"/>
  <c r="FX8" i="33"/>
  <c r="FY8" i="33"/>
  <c r="FZ8" i="33"/>
  <c r="GA8" i="33"/>
  <c r="GB8" i="33"/>
  <c r="GC8" i="33"/>
  <c r="GD8" i="33"/>
  <c r="GE8" i="33"/>
  <c r="GF8" i="33"/>
  <c r="GG8" i="33"/>
  <c r="GH8" i="33"/>
  <c r="GI8" i="33"/>
  <c r="GJ8" i="33"/>
  <c r="GK8" i="33"/>
  <c r="GL8" i="33"/>
  <c r="GM8" i="33"/>
  <c r="GN8" i="33"/>
  <c r="GO8" i="33"/>
  <c r="GP8" i="33"/>
  <c r="GQ8" i="33"/>
  <c r="GR8" i="33"/>
  <c r="GS8" i="33"/>
  <c r="GT8" i="33"/>
  <c r="GU8" i="33"/>
  <c r="GV8" i="33"/>
  <c r="GW8" i="33"/>
  <c r="GX8" i="33"/>
  <c r="GY8" i="33"/>
  <c r="GZ8" i="33"/>
  <c r="HA8" i="33"/>
  <c r="HB8" i="33"/>
  <c r="HC8" i="33"/>
  <c r="HD8" i="33"/>
  <c r="HE8" i="33"/>
  <c r="HF8" i="33"/>
  <c r="HG8" i="33"/>
  <c r="HH8" i="33"/>
  <c r="HI8" i="33"/>
  <c r="HJ8" i="33"/>
  <c r="HK8" i="33"/>
  <c r="HL8" i="33"/>
  <c r="HM8" i="33"/>
  <c r="HN8" i="33"/>
  <c r="HO8" i="33"/>
  <c r="HP8" i="33"/>
  <c r="HQ8" i="33"/>
  <c r="HR8" i="33"/>
  <c r="HS8" i="33"/>
  <c r="HT8" i="33"/>
  <c r="HU8" i="33"/>
  <c r="HV8" i="33"/>
  <c r="HW8" i="33"/>
  <c r="HX8" i="33"/>
  <c r="HY8" i="33"/>
  <c r="HZ8" i="33"/>
  <c r="IA8" i="33"/>
  <c r="IB8" i="33"/>
  <c r="IC8" i="33"/>
  <c r="ID8" i="33"/>
  <c r="IE8" i="33"/>
  <c r="IF8" i="33"/>
  <c r="IG8" i="33"/>
  <c r="IH8" i="33"/>
  <c r="II8" i="33"/>
  <c r="IJ8" i="33"/>
  <c r="IK8" i="33"/>
  <c r="IL8" i="33"/>
  <c r="IM8" i="33"/>
  <c r="IN8" i="33"/>
  <c r="IO8" i="33"/>
  <c r="IP8" i="33"/>
  <c r="IQ8" i="33"/>
  <c r="IR8" i="33"/>
  <c r="IS8" i="33"/>
  <c r="IT8" i="33"/>
  <c r="IU8" i="33"/>
  <c r="IV8" i="33"/>
  <c r="A7" i="33"/>
  <c r="B7" i="33"/>
  <c r="C7" i="33"/>
  <c r="D7" i="33"/>
  <c r="E7" i="33"/>
  <c r="F7" i="33"/>
  <c r="G7" i="33"/>
  <c r="H7" i="33"/>
  <c r="I7" i="33"/>
  <c r="J7" i="33"/>
  <c r="K7" i="33"/>
  <c r="L7" i="33"/>
  <c r="M7" i="33"/>
  <c r="N7" i="33"/>
  <c r="O7" i="33"/>
  <c r="P7" i="33"/>
  <c r="Q7" i="33"/>
  <c r="R7" i="33"/>
  <c r="S7" i="33"/>
  <c r="T7" i="33"/>
  <c r="U7" i="33"/>
  <c r="V7" i="33"/>
  <c r="W7" i="33"/>
  <c r="X7" i="33"/>
  <c r="Y7" i="33"/>
  <c r="Z7" i="33"/>
  <c r="AA7" i="33"/>
  <c r="AB7" i="33"/>
  <c r="AC7" i="33"/>
  <c r="AD7" i="33"/>
  <c r="AE7" i="33"/>
  <c r="AF7" i="33"/>
  <c r="AG7" i="33"/>
  <c r="AH7" i="33"/>
  <c r="AI7" i="33"/>
  <c r="AJ7" i="33"/>
  <c r="AK7" i="33"/>
  <c r="AL7" i="33"/>
  <c r="AM7" i="33"/>
  <c r="AN7" i="33"/>
  <c r="AO7" i="33"/>
  <c r="AP7" i="33"/>
  <c r="AQ7" i="33"/>
  <c r="AR7" i="33"/>
  <c r="AS7" i="33"/>
  <c r="AT7" i="33"/>
  <c r="AU7" i="33"/>
  <c r="AV7" i="33"/>
  <c r="AW7" i="33"/>
  <c r="AX7" i="33"/>
  <c r="AY7" i="33"/>
  <c r="AZ7" i="33"/>
  <c r="BA7" i="33"/>
  <c r="BB7" i="33"/>
  <c r="BC7" i="33"/>
  <c r="BD7" i="33"/>
  <c r="BE7" i="33"/>
  <c r="BF7" i="33"/>
  <c r="BG7" i="33"/>
  <c r="BH7" i="33"/>
  <c r="BI7" i="33"/>
  <c r="BJ7" i="33"/>
  <c r="BK7" i="33"/>
  <c r="BL7" i="33"/>
  <c r="BM7" i="33"/>
  <c r="BN7" i="33"/>
  <c r="BO7" i="33"/>
  <c r="BP7" i="33"/>
  <c r="BQ7" i="33"/>
  <c r="BR7" i="33"/>
  <c r="BS7" i="33"/>
  <c r="BT7" i="33"/>
  <c r="BU7" i="33"/>
  <c r="BV7" i="33"/>
  <c r="BW7" i="33"/>
  <c r="BX7" i="33"/>
  <c r="BY7" i="33"/>
  <c r="BZ7" i="33"/>
  <c r="CA7" i="33"/>
  <c r="CB7" i="33"/>
  <c r="CC7" i="33"/>
  <c r="CD7" i="33"/>
  <c r="CE7" i="33"/>
  <c r="CF7" i="33"/>
  <c r="CG7" i="33"/>
  <c r="CH7" i="33"/>
  <c r="CI7" i="33"/>
  <c r="CJ7" i="33"/>
  <c r="CK7" i="33"/>
  <c r="CL7" i="33"/>
  <c r="CM7" i="33"/>
  <c r="CN7" i="33"/>
  <c r="CO7" i="33"/>
  <c r="CP7" i="33"/>
  <c r="CQ7" i="33"/>
  <c r="CR7" i="33"/>
  <c r="CS7" i="33"/>
  <c r="CT7" i="33"/>
  <c r="CU7" i="33"/>
  <c r="CV7" i="33"/>
  <c r="CW7" i="33"/>
  <c r="CX7" i="33"/>
  <c r="CY7" i="33"/>
  <c r="CZ7" i="33"/>
  <c r="DA7" i="33"/>
  <c r="DB7" i="33"/>
  <c r="DC7" i="33"/>
  <c r="DD7" i="33"/>
  <c r="DE7" i="33"/>
  <c r="DF7" i="33"/>
  <c r="DG7" i="33"/>
  <c r="DH7" i="33"/>
  <c r="DI7" i="33"/>
  <c r="DJ7" i="33"/>
  <c r="DK7" i="33"/>
  <c r="DL7" i="33"/>
  <c r="DM7" i="33"/>
  <c r="DN7" i="33"/>
  <c r="DO7" i="33"/>
  <c r="DP7" i="33"/>
  <c r="DQ7" i="33"/>
  <c r="DR7" i="33"/>
  <c r="DS7" i="33"/>
  <c r="DT7" i="33"/>
  <c r="DU7" i="33"/>
  <c r="DV7" i="33"/>
  <c r="DW7" i="33"/>
  <c r="DX7" i="33"/>
  <c r="DY7" i="33"/>
  <c r="DZ7" i="33"/>
  <c r="EA7" i="33"/>
  <c r="EB7" i="33"/>
  <c r="EC7" i="33"/>
  <c r="ED7" i="33"/>
  <c r="EE7" i="33"/>
  <c r="EF7" i="33"/>
  <c r="EG7" i="33"/>
  <c r="EH7" i="33"/>
  <c r="EI7" i="33"/>
  <c r="EJ7" i="33"/>
  <c r="EK7" i="33"/>
  <c r="EL7" i="33"/>
  <c r="EM7" i="33"/>
  <c r="EN7" i="33"/>
  <c r="EO7" i="33"/>
  <c r="EP7" i="33"/>
  <c r="EQ7" i="33"/>
  <c r="ER7" i="33"/>
  <c r="ES7" i="33"/>
  <c r="ET7" i="33"/>
  <c r="EU7" i="33"/>
  <c r="EV7" i="33"/>
  <c r="EW7" i="33"/>
  <c r="EX7" i="33"/>
  <c r="EY7" i="33"/>
  <c r="EZ7" i="33"/>
  <c r="FA7" i="33"/>
  <c r="FB7" i="33"/>
  <c r="FC7" i="33"/>
  <c r="FD7" i="33"/>
  <c r="FE7" i="33"/>
  <c r="FF7" i="33"/>
  <c r="FG7" i="33"/>
  <c r="FH7" i="33"/>
  <c r="FI7" i="33"/>
  <c r="FJ7" i="33"/>
  <c r="FK7" i="33"/>
  <c r="FL7" i="33"/>
  <c r="FM7" i="33"/>
  <c r="FN7" i="33"/>
  <c r="FO7" i="33"/>
  <c r="FP7" i="33"/>
  <c r="FQ7" i="33"/>
  <c r="FR7" i="33"/>
  <c r="FS7" i="33"/>
  <c r="FT7" i="33"/>
  <c r="FU7" i="33"/>
  <c r="FV7" i="33"/>
  <c r="FW7" i="33"/>
  <c r="FX7" i="33"/>
  <c r="FY7" i="33"/>
  <c r="FZ7" i="33"/>
  <c r="GA7" i="33"/>
  <c r="GB7" i="33"/>
  <c r="GC7" i="33"/>
  <c r="GD7" i="33"/>
  <c r="GE7" i="33"/>
  <c r="GF7" i="33"/>
  <c r="GG7" i="33"/>
  <c r="GH7" i="33"/>
  <c r="GI7" i="33"/>
  <c r="GJ7" i="33"/>
  <c r="GK7" i="33"/>
  <c r="GL7" i="33"/>
  <c r="GM7" i="33"/>
  <c r="GN7" i="33"/>
  <c r="GO7" i="33"/>
  <c r="GP7" i="33"/>
  <c r="GQ7" i="33"/>
  <c r="GR7" i="33"/>
  <c r="GS7" i="33"/>
  <c r="GT7" i="33"/>
  <c r="GU7" i="33"/>
  <c r="GV7" i="33"/>
  <c r="GW7" i="33"/>
  <c r="GX7" i="33"/>
  <c r="GY7" i="33"/>
  <c r="GZ7" i="33"/>
  <c r="HA7" i="33"/>
  <c r="HB7" i="33"/>
  <c r="HC7" i="33"/>
  <c r="HD7" i="33"/>
  <c r="HE7" i="33"/>
  <c r="HF7" i="33"/>
  <c r="HG7" i="33"/>
  <c r="HH7" i="33"/>
  <c r="HI7" i="33"/>
  <c r="HJ7" i="33"/>
  <c r="HK7" i="33"/>
  <c r="HL7" i="33"/>
  <c r="HM7" i="33"/>
  <c r="HN7" i="33"/>
  <c r="HO7" i="33"/>
  <c r="HP7" i="33"/>
  <c r="HQ7" i="33"/>
  <c r="HR7" i="33"/>
  <c r="HS7" i="33"/>
  <c r="HT7" i="33"/>
  <c r="HU7" i="33"/>
  <c r="HV7" i="33"/>
  <c r="HW7" i="33"/>
  <c r="HX7" i="33"/>
  <c r="HY7" i="33"/>
  <c r="HZ7" i="33"/>
  <c r="IA7" i="33"/>
  <c r="IB7" i="33"/>
  <c r="IC7" i="33"/>
  <c r="ID7" i="33"/>
  <c r="IE7" i="33"/>
  <c r="IF7" i="33"/>
  <c r="IG7" i="33"/>
  <c r="IH7" i="33"/>
  <c r="II7" i="33"/>
  <c r="IJ7" i="33"/>
  <c r="IK7" i="33"/>
  <c r="IL7" i="33"/>
  <c r="IM7" i="33"/>
  <c r="IN7" i="33"/>
  <c r="IO7" i="33"/>
  <c r="IP7" i="33"/>
  <c r="IQ7" i="33"/>
  <c r="IR7" i="33"/>
  <c r="IS7" i="33"/>
  <c r="IT7" i="33"/>
  <c r="IU7" i="33"/>
  <c r="IV7" i="33"/>
  <c r="A6" i="33"/>
  <c r="B6" i="33"/>
  <c r="C6" i="33"/>
  <c r="D6" i="33"/>
  <c r="E6" i="33"/>
  <c r="F6" i="33"/>
  <c r="G6" i="33"/>
  <c r="H6" i="33"/>
  <c r="I6" i="33"/>
  <c r="J6" i="33"/>
  <c r="K6" i="33"/>
  <c r="L6" i="33"/>
  <c r="M6" i="33"/>
  <c r="N6" i="33"/>
  <c r="O6" i="33"/>
  <c r="P6" i="33"/>
  <c r="Q6" i="33"/>
  <c r="R6" i="33"/>
  <c r="S6" i="33"/>
  <c r="T6" i="33"/>
  <c r="U6" i="33"/>
  <c r="V6" i="33"/>
  <c r="W6" i="33"/>
  <c r="X6" i="33"/>
  <c r="Y6" i="33"/>
  <c r="Z6" i="33"/>
  <c r="AA6" i="33"/>
  <c r="AB6" i="33"/>
  <c r="AC6" i="33"/>
  <c r="AD6" i="33"/>
  <c r="AE6" i="33"/>
  <c r="AF6" i="33"/>
  <c r="AG6" i="33"/>
  <c r="AH6" i="33"/>
  <c r="AI6" i="33"/>
  <c r="AJ6" i="33"/>
  <c r="AK6" i="33"/>
  <c r="AL6" i="33"/>
  <c r="AM6" i="33"/>
  <c r="AN6" i="33"/>
  <c r="AO6" i="33"/>
  <c r="AP6" i="33"/>
  <c r="AQ6" i="33"/>
  <c r="AR6" i="33"/>
  <c r="AS6" i="33"/>
  <c r="AT6" i="33"/>
  <c r="AU6" i="33"/>
  <c r="AV6" i="33"/>
  <c r="AW6" i="33"/>
  <c r="AX6" i="33"/>
  <c r="AY6" i="33"/>
  <c r="AZ6" i="33"/>
  <c r="BA6" i="33"/>
  <c r="BB6" i="33"/>
  <c r="BC6" i="33"/>
  <c r="BD6" i="33"/>
  <c r="BE6" i="33"/>
  <c r="BF6" i="33"/>
  <c r="BG6" i="33"/>
  <c r="BH6" i="33"/>
  <c r="BI6" i="33"/>
  <c r="BJ6" i="33"/>
  <c r="BK6" i="33"/>
  <c r="BL6" i="33"/>
  <c r="BM6" i="33"/>
  <c r="BN6" i="33"/>
  <c r="BO6" i="33"/>
  <c r="BP6" i="33"/>
  <c r="BQ6" i="33"/>
  <c r="BR6" i="33"/>
  <c r="BS6" i="33"/>
  <c r="BT6" i="33"/>
  <c r="BU6" i="33"/>
  <c r="BV6" i="33"/>
  <c r="BW6" i="33"/>
  <c r="BX6" i="33"/>
  <c r="BY6" i="33"/>
  <c r="BZ6" i="33"/>
  <c r="CA6" i="33"/>
  <c r="CB6" i="33"/>
  <c r="CC6" i="33"/>
  <c r="CD6" i="33"/>
  <c r="CE6" i="33"/>
  <c r="CF6" i="33"/>
  <c r="CG6" i="33"/>
  <c r="CH6" i="33"/>
  <c r="CI6" i="33"/>
  <c r="CJ6" i="33"/>
  <c r="CK6" i="33"/>
  <c r="CL6" i="33"/>
  <c r="CM6" i="33"/>
  <c r="CN6" i="33"/>
  <c r="CO6" i="33"/>
  <c r="CP6" i="33"/>
  <c r="CQ6" i="33"/>
  <c r="CR6" i="33"/>
  <c r="CS6" i="33"/>
  <c r="CT6" i="33"/>
  <c r="CU6" i="33"/>
  <c r="CV6" i="33"/>
  <c r="CW6" i="33"/>
  <c r="CX6" i="33"/>
  <c r="CY6" i="33"/>
  <c r="CZ6" i="33"/>
  <c r="DA6" i="33"/>
  <c r="DB6" i="33"/>
  <c r="DC6" i="33"/>
  <c r="DD6" i="33"/>
  <c r="DE6" i="33"/>
  <c r="DF6" i="33"/>
  <c r="DG6" i="33"/>
  <c r="DH6" i="33"/>
  <c r="DI6" i="33"/>
  <c r="DJ6" i="33"/>
  <c r="DK6" i="33"/>
  <c r="DL6" i="33"/>
  <c r="DM6" i="33"/>
  <c r="DN6" i="33"/>
  <c r="DO6" i="33"/>
  <c r="DP6" i="33"/>
  <c r="DQ6" i="33"/>
  <c r="DR6" i="33"/>
  <c r="DS6" i="33"/>
  <c r="DT6" i="33"/>
  <c r="DU6" i="33"/>
  <c r="DV6" i="33"/>
  <c r="DW6" i="33"/>
  <c r="DX6" i="33"/>
  <c r="DY6" i="33"/>
  <c r="DZ6" i="33"/>
  <c r="EA6" i="33"/>
  <c r="EB6" i="33"/>
  <c r="EC6" i="33"/>
  <c r="ED6" i="33"/>
  <c r="EE6" i="33"/>
  <c r="EF6" i="33"/>
  <c r="EG6" i="33"/>
  <c r="EH6" i="33"/>
  <c r="EI6" i="33"/>
  <c r="EJ6" i="33"/>
  <c r="EK6" i="33"/>
  <c r="EL6" i="33"/>
  <c r="EM6" i="33"/>
  <c r="EN6" i="33"/>
  <c r="EO6" i="33"/>
  <c r="EP6" i="33"/>
  <c r="EQ6" i="33"/>
  <c r="ER6" i="33"/>
  <c r="ES6" i="33"/>
  <c r="ET6" i="33"/>
  <c r="EU6" i="33"/>
  <c r="EV6" i="33"/>
  <c r="EW6" i="33"/>
  <c r="EX6" i="33"/>
  <c r="EY6" i="33"/>
  <c r="EZ6" i="33"/>
  <c r="FA6" i="33"/>
  <c r="FB6" i="33"/>
  <c r="FC6" i="33"/>
  <c r="FD6" i="33"/>
  <c r="FE6" i="33"/>
  <c r="FF6" i="33"/>
  <c r="FG6" i="33"/>
  <c r="FH6" i="33"/>
  <c r="FI6" i="33"/>
  <c r="FJ6" i="33"/>
  <c r="FK6" i="33"/>
  <c r="FL6" i="33"/>
  <c r="FM6" i="33"/>
  <c r="FN6" i="33"/>
  <c r="FO6" i="33"/>
  <c r="FP6" i="33"/>
  <c r="FQ6" i="33"/>
  <c r="FR6" i="33"/>
  <c r="FS6" i="33"/>
  <c r="FT6" i="33"/>
  <c r="FU6" i="33"/>
  <c r="FV6" i="33"/>
  <c r="FW6" i="33"/>
  <c r="FX6" i="33"/>
  <c r="FY6" i="33"/>
  <c r="FZ6" i="33"/>
  <c r="GA6" i="33"/>
  <c r="GB6" i="33"/>
  <c r="GC6" i="33"/>
  <c r="GD6" i="33"/>
  <c r="GE6" i="33"/>
  <c r="GF6" i="33"/>
  <c r="GG6" i="33"/>
  <c r="GH6" i="33"/>
  <c r="GI6" i="33"/>
  <c r="GJ6" i="33"/>
  <c r="GK6" i="33"/>
  <c r="GL6" i="33"/>
  <c r="GM6" i="33"/>
  <c r="GN6" i="33"/>
  <c r="GO6" i="33"/>
  <c r="GP6" i="33"/>
  <c r="GQ6" i="33"/>
  <c r="GR6" i="33"/>
  <c r="GS6" i="33"/>
  <c r="GT6" i="33"/>
  <c r="GU6" i="33"/>
  <c r="GV6" i="33"/>
  <c r="GW6" i="33"/>
  <c r="GX6" i="33"/>
  <c r="GY6" i="33"/>
  <c r="GZ6" i="33"/>
  <c r="HA6" i="33"/>
  <c r="HB6" i="33"/>
  <c r="HC6" i="33"/>
  <c r="HD6" i="33"/>
  <c r="HE6" i="33"/>
  <c r="HF6" i="33"/>
  <c r="HG6" i="33"/>
  <c r="HH6" i="33"/>
  <c r="HI6" i="33"/>
  <c r="HJ6" i="33"/>
  <c r="HK6" i="33"/>
  <c r="HL6" i="33"/>
  <c r="HM6" i="33"/>
  <c r="HN6" i="33"/>
  <c r="HO6" i="33"/>
  <c r="HP6" i="33"/>
  <c r="HQ6" i="33"/>
  <c r="HR6" i="33"/>
  <c r="HS6" i="33"/>
  <c r="HT6" i="33"/>
  <c r="HU6" i="33"/>
  <c r="HV6" i="33"/>
  <c r="HW6" i="33"/>
  <c r="HX6" i="33"/>
  <c r="HY6" i="33"/>
  <c r="HZ6" i="33"/>
  <c r="IA6" i="33"/>
  <c r="IB6" i="33"/>
  <c r="IC6" i="33"/>
  <c r="ID6" i="33"/>
  <c r="IE6" i="33"/>
  <c r="IF6" i="33"/>
  <c r="IG6" i="33"/>
  <c r="IH6" i="33"/>
  <c r="II6" i="33"/>
  <c r="IJ6" i="33"/>
  <c r="IK6" i="33"/>
  <c r="IL6" i="33"/>
  <c r="IM6" i="33"/>
  <c r="IN6" i="33"/>
  <c r="IO6" i="33"/>
  <c r="IP6" i="33"/>
  <c r="IQ6" i="33"/>
  <c r="IR6" i="33"/>
  <c r="IS6" i="33"/>
  <c r="IT6" i="33"/>
  <c r="IU6" i="33"/>
  <c r="IV6" i="33"/>
  <c r="A5" i="33"/>
  <c r="B5" i="33"/>
  <c r="C5" i="33"/>
  <c r="D5" i="33"/>
  <c r="E5" i="33"/>
  <c r="F5" i="33"/>
  <c r="G5" i="33"/>
  <c r="I5" i="33"/>
  <c r="J5" i="33"/>
  <c r="K5" i="33"/>
  <c r="L5" i="33"/>
  <c r="M5" i="33"/>
  <c r="N5" i="33"/>
  <c r="O5" i="33"/>
  <c r="P5" i="33"/>
  <c r="Q5" i="33"/>
  <c r="R5" i="33"/>
  <c r="S5" i="33"/>
  <c r="T5" i="33"/>
  <c r="U5" i="33"/>
  <c r="V5" i="33"/>
  <c r="W5" i="33"/>
  <c r="X5" i="33"/>
  <c r="Y5" i="33"/>
  <c r="Z5" i="33"/>
  <c r="AA5" i="33"/>
  <c r="AB5" i="33"/>
  <c r="AC5" i="33"/>
  <c r="AD5" i="33"/>
  <c r="AE5" i="33"/>
  <c r="AF5" i="33"/>
  <c r="AG5" i="33"/>
  <c r="AH5" i="33"/>
  <c r="AI5" i="33"/>
  <c r="AJ5" i="33"/>
  <c r="AK5" i="33"/>
  <c r="AL5" i="33"/>
  <c r="AM5" i="33"/>
  <c r="AN5" i="33"/>
  <c r="AO5" i="33"/>
  <c r="AP5" i="33"/>
  <c r="AQ5" i="33"/>
  <c r="AR5" i="33"/>
  <c r="AS5" i="33"/>
  <c r="AT5" i="33"/>
  <c r="AU5" i="33"/>
  <c r="AV5" i="33"/>
  <c r="AW5" i="33"/>
  <c r="AX5" i="33"/>
  <c r="AY5" i="33"/>
  <c r="AZ5" i="33"/>
  <c r="BA5" i="33"/>
  <c r="BB5" i="33"/>
  <c r="BC5" i="33"/>
  <c r="BD5" i="33"/>
  <c r="BE5" i="33"/>
  <c r="BF5" i="33"/>
  <c r="BG5" i="33"/>
  <c r="BH5" i="33"/>
  <c r="BI5" i="33"/>
  <c r="BJ5" i="33"/>
  <c r="BK5" i="33"/>
  <c r="BL5" i="33"/>
  <c r="BM5" i="33"/>
  <c r="BN5" i="33"/>
  <c r="BO5" i="33"/>
  <c r="BP5" i="33"/>
  <c r="BQ5" i="33"/>
  <c r="BR5" i="33"/>
  <c r="BS5" i="33"/>
  <c r="BT5" i="33"/>
  <c r="BU5" i="33"/>
  <c r="BV5" i="33"/>
  <c r="BW5" i="33"/>
  <c r="BX5" i="33"/>
  <c r="BY5" i="33"/>
  <c r="BZ5" i="33"/>
  <c r="CA5" i="33"/>
  <c r="CB5" i="33"/>
  <c r="CC5" i="33"/>
  <c r="CD5" i="33"/>
  <c r="CE5" i="33"/>
  <c r="CF5" i="33"/>
  <c r="CG5" i="33"/>
  <c r="CH5" i="33"/>
  <c r="CI5" i="33"/>
  <c r="CJ5" i="33"/>
  <c r="CK5" i="33"/>
  <c r="CL5" i="33"/>
  <c r="CM5" i="33"/>
  <c r="CN5" i="33"/>
  <c r="CO5" i="33"/>
  <c r="CP5" i="33"/>
  <c r="CQ5" i="33"/>
  <c r="CR5" i="33"/>
  <c r="CS5" i="33"/>
  <c r="CT5" i="33"/>
  <c r="CU5" i="33"/>
  <c r="CV5" i="33"/>
  <c r="CW5" i="33"/>
  <c r="CX5" i="33"/>
  <c r="CY5" i="33"/>
  <c r="CZ5" i="33"/>
  <c r="DA5" i="33"/>
  <c r="DB5" i="33"/>
  <c r="DC5" i="33"/>
  <c r="DD5" i="33"/>
  <c r="DE5" i="33"/>
  <c r="DF5" i="33"/>
  <c r="DG5" i="33"/>
  <c r="DH5" i="33"/>
  <c r="DI5" i="33"/>
  <c r="DJ5" i="33"/>
  <c r="DK5" i="33"/>
  <c r="DL5" i="33"/>
  <c r="DM5" i="33"/>
  <c r="DN5" i="33"/>
  <c r="DO5" i="33"/>
  <c r="DP5" i="33"/>
  <c r="DQ5" i="33"/>
  <c r="DR5" i="33"/>
  <c r="DS5" i="33"/>
  <c r="DT5" i="33"/>
  <c r="DU5" i="33"/>
  <c r="DV5" i="33"/>
  <c r="DW5" i="33"/>
  <c r="DX5" i="33"/>
  <c r="DY5" i="33"/>
  <c r="DZ5" i="33"/>
  <c r="EA5" i="33"/>
  <c r="EB5" i="33"/>
  <c r="EC5" i="33"/>
  <c r="ED5" i="33"/>
  <c r="EE5" i="33"/>
  <c r="EF5" i="33"/>
  <c r="EG5" i="33"/>
  <c r="EH5" i="33"/>
  <c r="EI5" i="33"/>
  <c r="EJ5" i="33"/>
  <c r="EK5" i="33"/>
  <c r="EL5" i="33"/>
  <c r="EM5" i="33"/>
  <c r="EN5" i="33"/>
  <c r="EO5" i="33"/>
  <c r="EP5" i="33"/>
  <c r="EQ5" i="33"/>
  <c r="ER5" i="33"/>
  <c r="ES5" i="33"/>
  <c r="ET5" i="33"/>
  <c r="EU5" i="33"/>
  <c r="EV5" i="33"/>
  <c r="EW5" i="33"/>
  <c r="EX5" i="33"/>
  <c r="EY5" i="33"/>
  <c r="EZ5" i="33"/>
  <c r="FA5" i="33"/>
  <c r="FB5" i="33"/>
  <c r="FC5" i="33"/>
  <c r="FD5" i="33"/>
  <c r="FE5" i="33"/>
  <c r="FF5" i="33"/>
  <c r="FG5" i="33"/>
  <c r="FH5" i="33"/>
  <c r="FI5" i="33"/>
  <c r="FJ5" i="33"/>
  <c r="FK5" i="33"/>
  <c r="FL5" i="33"/>
  <c r="FM5" i="33"/>
  <c r="FN5" i="33"/>
  <c r="FO5" i="33"/>
  <c r="FP5" i="33"/>
  <c r="FQ5" i="33"/>
  <c r="FR5" i="33"/>
  <c r="FS5" i="33"/>
  <c r="FT5" i="33"/>
  <c r="FU5" i="33"/>
  <c r="FV5" i="33"/>
  <c r="FW5" i="33"/>
  <c r="FX5" i="33"/>
  <c r="FY5" i="33"/>
  <c r="FZ5" i="33"/>
  <c r="GA5" i="33"/>
  <c r="GB5" i="33"/>
  <c r="GC5" i="33"/>
  <c r="GD5" i="33"/>
  <c r="GE5" i="33"/>
  <c r="GF5" i="33"/>
  <c r="GG5" i="33"/>
  <c r="GH5" i="33"/>
  <c r="GI5" i="33"/>
  <c r="GJ5" i="33"/>
  <c r="GK5" i="33"/>
  <c r="GL5" i="33"/>
  <c r="GM5" i="33"/>
  <c r="GN5" i="33"/>
  <c r="GO5" i="33"/>
  <c r="GP5" i="33"/>
  <c r="GQ5" i="33"/>
  <c r="GR5" i="33"/>
  <c r="GS5" i="33"/>
  <c r="GT5" i="33"/>
  <c r="GU5" i="33"/>
  <c r="GV5" i="33"/>
  <c r="GW5" i="33"/>
  <c r="GX5" i="33"/>
  <c r="GY5" i="33"/>
  <c r="GZ5" i="33"/>
  <c r="HA5" i="33"/>
  <c r="HB5" i="33"/>
  <c r="HC5" i="33"/>
  <c r="HD5" i="33"/>
  <c r="HE5" i="33"/>
  <c r="HF5" i="33"/>
  <c r="HG5" i="33"/>
  <c r="HH5" i="33"/>
  <c r="HI5" i="33"/>
  <c r="HJ5" i="33"/>
  <c r="HK5" i="33"/>
  <c r="HL5" i="33"/>
  <c r="HM5" i="33"/>
  <c r="HN5" i="33"/>
  <c r="HO5" i="33"/>
  <c r="HP5" i="33"/>
  <c r="HQ5" i="33"/>
  <c r="HR5" i="33"/>
  <c r="HS5" i="33"/>
  <c r="HT5" i="33"/>
  <c r="HU5" i="33"/>
  <c r="HV5" i="33"/>
  <c r="HW5" i="33"/>
  <c r="HX5" i="33"/>
  <c r="HY5" i="33"/>
  <c r="HZ5" i="33"/>
  <c r="IA5" i="33"/>
  <c r="IB5" i="33"/>
  <c r="IC5" i="33"/>
  <c r="ID5" i="33"/>
  <c r="IE5" i="33"/>
  <c r="IF5" i="33"/>
  <c r="IG5" i="33"/>
  <c r="IH5" i="33"/>
  <c r="II5" i="33"/>
  <c r="IJ5" i="33"/>
  <c r="IK5" i="33"/>
  <c r="IL5" i="33"/>
  <c r="IM5" i="33"/>
  <c r="IN5" i="33"/>
  <c r="IO5" i="33"/>
  <c r="IP5" i="33"/>
  <c r="IQ5" i="33"/>
  <c r="IR5" i="33"/>
  <c r="IS5" i="33"/>
  <c r="IT5" i="33"/>
  <c r="IU5" i="33"/>
  <c r="IV5" i="33"/>
  <c r="A4" i="33"/>
  <c r="B4" i="33"/>
  <c r="C4" i="33"/>
  <c r="D4" i="33"/>
  <c r="E4" i="33"/>
  <c r="F4" i="33"/>
  <c r="G4" i="33"/>
  <c r="H4" i="33"/>
  <c r="I4" i="33"/>
  <c r="J4" i="33"/>
  <c r="K4" i="33"/>
  <c r="L4" i="33"/>
  <c r="M4" i="33"/>
  <c r="N4" i="33"/>
  <c r="O4" i="33"/>
  <c r="P4" i="33"/>
  <c r="Q4" i="33"/>
  <c r="R4" i="33"/>
  <c r="S4" i="33"/>
  <c r="T4" i="33"/>
  <c r="U4" i="33"/>
  <c r="V4" i="33"/>
  <c r="W4" i="33"/>
  <c r="X4" i="33"/>
  <c r="Y4" i="33"/>
  <c r="Z4" i="33"/>
  <c r="AA4" i="33"/>
  <c r="AB4" i="33"/>
  <c r="AC4" i="33"/>
  <c r="AD4" i="33"/>
  <c r="AE4" i="33"/>
  <c r="AF4" i="33"/>
  <c r="AG4" i="33"/>
  <c r="AH4" i="33"/>
  <c r="AI4" i="33"/>
  <c r="AJ4" i="33"/>
  <c r="AK4" i="33"/>
  <c r="AL4" i="33"/>
  <c r="AM4" i="33"/>
  <c r="AN4" i="33"/>
  <c r="AO4" i="33"/>
  <c r="AP4" i="33"/>
  <c r="AQ4" i="33"/>
  <c r="AR4" i="33"/>
  <c r="AS4" i="33"/>
  <c r="AT4" i="33"/>
  <c r="AU4" i="33"/>
  <c r="AV4" i="33"/>
  <c r="AW4" i="33"/>
  <c r="AX4" i="33"/>
  <c r="AY4" i="33"/>
  <c r="AZ4" i="33"/>
  <c r="BA4" i="33"/>
  <c r="BB4" i="33"/>
  <c r="BC4" i="33"/>
  <c r="BD4" i="33"/>
  <c r="BE4" i="33"/>
  <c r="BF4" i="33"/>
  <c r="BG4" i="33"/>
  <c r="BH4" i="33"/>
  <c r="BI4" i="33"/>
  <c r="BJ4" i="33"/>
  <c r="BK4" i="33"/>
  <c r="BL4" i="33"/>
  <c r="BM4" i="33"/>
  <c r="BN4" i="33"/>
  <c r="BO4" i="33"/>
  <c r="BP4" i="33"/>
  <c r="BQ4" i="33"/>
  <c r="BR4" i="33"/>
  <c r="BS4" i="33"/>
  <c r="BT4" i="33"/>
  <c r="BU4" i="33"/>
  <c r="BV4" i="33"/>
  <c r="BW4" i="33"/>
  <c r="BX4" i="33"/>
  <c r="BY4" i="33"/>
  <c r="BZ4" i="33"/>
  <c r="CA4" i="33"/>
  <c r="CB4" i="33"/>
  <c r="CC4" i="33"/>
  <c r="CD4" i="33"/>
  <c r="CE4" i="33"/>
  <c r="CF4" i="33"/>
  <c r="CG4" i="33"/>
  <c r="CH4" i="33"/>
  <c r="CI4" i="33"/>
  <c r="CJ4" i="33"/>
  <c r="CK4" i="33"/>
  <c r="CL4" i="33"/>
  <c r="CM4" i="33"/>
  <c r="CN4" i="33"/>
  <c r="CO4" i="33"/>
  <c r="CP4" i="33"/>
  <c r="CQ4" i="33"/>
  <c r="CR4" i="33"/>
  <c r="CS4" i="33"/>
  <c r="CT4" i="33"/>
  <c r="CU4" i="33"/>
  <c r="CV4" i="33"/>
  <c r="CW4" i="33"/>
  <c r="CX4" i="33"/>
  <c r="CY4" i="33"/>
  <c r="CZ4" i="33"/>
  <c r="DA4" i="33"/>
  <c r="DB4" i="33"/>
  <c r="DC4" i="33"/>
  <c r="DD4" i="33"/>
  <c r="DE4" i="33"/>
  <c r="DF4" i="33"/>
  <c r="DG4" i="33"/>
  <c r="DH4" i="33"/>
  <c r="DI4" i="33"/>
  <c r="DJ4" i="33"/>
  <c r="DK4" i="33"/>
  <c r="DL4" i="33"/>
  <c r="DM4" i="33"/>
  <c r="DN4" i="33"/>
  <c r="DO4" i="33"/>
  <c r="DP4" i="33"/>
  <c r="DQ4" i="33"/>
  <c r="DR4" i="33"/>
  <c r="DS4" i="33"/>
  <c r="DT4" i="33"/>
  <c r="DU4" i="33"/>
  <c r="DV4" i="33"/>
  <c r="DW4" i="33"/>
  <c r="DX4" i="33"/>
  <c r="DY4" i="33"/>
  <c r="DZ4" i="33"/>
  <c r="EA4" i="33"/>
  <c r="EB4" i="33"/>
  <c r="EC4" i="33"/>
  <c r="ED4" i="33"/>
  <c r="EE4" i="33"/>
  <c r="EF4" i="33"/>
  <c r="EG4" i="33"/>
  <c r="EH4" i="33"/>
  <c r="EI4" i="33"/>
  <c r="EJ4" i="33"/>
  <c r="EK4" i="33"/>
  <c r="EL4" i="33"/>
  <c r="EM4" i="33"/>
  <c r="EN4" i="33"/>
  <c r="EO4" i="33"/>
  <c r="EP4" i="33"/>
  <c r="EQ4" i="33"/>
  <c r="ER4" i="33"/>
  <c r="ES4" i="33"/>
  <c r="ET4" i="33"/>
  <c r="EU4" i="33"/>
  <c r="EV4" i="33"/>
  <c r="EW4" i="33"/>
  <c r="EX4" i="33"/>
  <c r="EY4" i="33"/>
  <c r="EZ4" i="33"/>
  <c r="FA4" i="33"/>
  <c r="FB4" i="33"/>
  <c r="FC4" i="33"/>
  <c r="FD4" i="33"/>
  <c r="FE4" i="33"/>
  <c r="FF4" i="33"/>
  <c r="FG4" i="33"/>
  <c r="FH4" i="33"/>
  <c r="FI4" i="33"/>
  <c r="FJ4" i="33"/>
  <c r="FK4" i="33"/>
  <c r="FL4" i="33"/>
  <c r="FM4" i="33"/>
  <c r="FN4" i="33"/>
  <c r="FO4" i="33"/>
  <c r="FP4" i="33"/>
  <c r="FQ4" i="33"/>
  <c r="FR4" i="33"/>
  <c r="FS4" i="33"/>
  <c r="FT4" i="33"/>
  <c r="FU4" i="33"/>
  <c r="FV4" i="33"/>
  <c r="FW4" i="33"/>
  <c r="FX4" i="33"/>
  <c r="FY4" i="33"/>
  <c r="FZ4" i="33"/>
  <c r="GA4" i="33"/>
  <c r="GB4" i="33"/>
  <c r="GC4" i="33"/>
  <c r="GD4" i="33"/>
  <c r="GE4" i="33"/>
  <c r="GF4" i="33"/>
  <c r="GG4" i="33"/>
  <c r="GH4" i="33"/>
  <c r="GI4" i="33"/>
  <c r="GJ4" i="33"/>
  <c r="GK4" i="33"/>
  <c r="GL4" i="33"/>
  <c r="GM4" i="33"/>
  <c r="GN4" i="33"/>
  <c r="GO4" i="33"/>
  <c r="GP4" i="33"/>
  <c r="GQ4" i="33"/>
  <c r="GR4" i="33"/>
  <c r="GS4" i="33"/>
  <c r="GT4" i="33"/>
  <c r="GU4" i="33"/>
  <c r="GV4" i="33"/>
  <c r="GW4" i="33"/>
  <c r="GX4" i="33"/>
  <c r="GY4" i="33"/>
  <c r="GZ4" i="33"/>
  <c r="HA4" i="33"/>
  <c r="HB4" i="33"/>
  <c r="HC4" i="33"/>
  <c r="HD4" i="33"/>
  <c r="HE4" i="33"/>
  <c r="HF4" i="33"/>
  <c r="HG4" i="33"/>
  <c r="HH4" i="33"/>
  <c r="HI4" i="33"/>
  <c r="HJ4" i="33"/>
  <c r="HK4" i="33"/>
  <c r="HL4" i="33"/>
  <c r="HM4" i="33"/>
  <c r="HN4" i="33"/>
  <c r="HO4" i="33"/>
  <c r="HP4" i="33"/>
  <c r="HQ4" i="33"/>
  <c r="HR4" i="33"/>
  <c r="HS4" i="33"/>
  <c r="HT4" i="33"/>
  <c r="HU4" i="33"/>
  <c r="HV4" i="33"/>
  <c r="HW4" i="33"/>
  <c r="HX4" i="33"/>
  <c r="HY4" i="33"/>
  <c r="HZ4" i="33"/>
  <c r="IA4" i="33"/>
  <c r="IB4" i="33"/>
  <c r="IC4" i="33"/>
  <c r="ID4" i="33"/>
  <c r="IE4" i="33"/>
  <c r="IF4" i="33"/>
  <c r="IG4" i="33"/>
  <c r="IH4" i="33"/>
  <c r="II4" i="33"/>
  <c r="IJ4" i="33"/>
  <c r="IK4" i="33"/>
  <c r="IL4" i="33"/>
  <c r="IM4" i="33"/>
  <c r="IN4" i="33"/>
  <c r="IO4" i="33"/>
  <c r="IP4" i="33"/>
  <c r="IQ4" i="33"/>
  <c r="IR4" i="33"/>
  <c r="IS4" i="33"/>
  <c r="IT4" i="33"/>
  <c r="IU4" i="33"/>
  <c r="IV4" i="33"/>
  <c r="A3" i="33"/>
  <c r="B3" i="33"/>
  <c r="C3" i="33"/>
  <c r="D3" i="33"/>
  <c r="E3" i="33"/>
  <c r="F3" i="33"/>
  <c r="G3" i="33"/>
  <c r="H3" i="33"/>
  <c r="I3" i="33"/>
  <c r="J3" i="33"/>
  <c r="K3" i="33"/>
  <c r="L3" i="33"/>
  <c r="M3" i="33"/>
  <c r="N3" i="33"/>
  <c r="O3" i="33"/>
  <c r="P3" i="33"/>
  <c r="Q3" i="33"/>
  <c r="R3" i="33"/>
  <c r="S3" i="33"/>
  <c r="T3" i="33"/>
  <c r="U3" i="33"/>
  <c r="V3" i="33"/>
  <c r="W3" i="33"/>
  <c r="X3" i="33"/>
  <c r="Y3" i="33"/>
  <c r="Z3" i="33"/>
  <c r="AA3" i="33"/>
  <c r="AB3" i="33"/>
  <c r="AC3" i="33"/>
  <c r="AD3" i="33"/>
  <c r="AE3" i="33"/>
  <c r="AF3" i="33"/>
  <c r="AG3" i="33"/>
  <c r="AH3" i="33"/>
  <c r="AI3" i="33"/>
  <c r="AJ3" i="33"/>
  <c r="AK3" i="33"/>
  <c r="AL3" i="33"/>
  <c r="AM3" i="33"/>
  <c r="AN3" i="33"/>
  <c r="AO3" i="33"/>
  <c r="AP3" i="33"/>
  <c r="AQ3" i="33"/>
  <c r="AR3" i="33"/>
  <c r="AS3" i="33"/>
  <c r="AT3" i="33"/>
  <c r="AU3" i="33"/>
  <c r="AV3" i="33"/>
  <c r="AW3" i="33"/>
  <c r="AX3" i="33"/>
  <c r="AY3" i="33"/>
  <c r="AZ3" i="33"/>
  <c r="BA3" i="33"/>
  <c r="BB3" i="33"/>
  <c r="BC3" i="33"/>
  <c r="BD3" i="33"/>
  <c r="BE3" i="33"/>
  <c r="BF3" i="33"/>
  <c r="BG3" i="33"/>
  <c r="BH3" i="33"/>
  <c r="BI3" i="33"/>
  <c r="BJ3" i="33"/>
  <c r="BK3" i="33"/>
  <c r="BL3" i="33"/>
  <c r="BM3" i="33"/>
  <c r="BN3" i="33"/>
  <c r="BO3" i="33"/>
  <c r="BP3" i="33"/>
  <c r="BQ3" i="33"/>
  <c r="BR3" i="33"/>
  <c r="BS3" i="33"/>
  <c r="BT3" i="33"/>
  <c r="BU3" i="33"/>
  <c r="BV3" i="33"/>
  <c r="BW3" i="33"/>
  <c r="BX3" i="33"/>
  <c r="BY3" i="33"/>
  <c r="BZ3" i="33"/>
  <c r="CA3" i="33"/>
  <c r="CB3" i="33"/>
  <c r="CC3" i="33"/>
  <c r="CD3" i="33"/>
  <c r="CE3" i="33"/>
  <c r="CF3" i="33"/>
  <c r="CG3" i="33"/>
  <c r="CH3" i="33"/>
  <c r="CI3" i="33"/>
  <c r="CJ3" i="33"/>
  <c r="CK3" i="33"/>
  <c r="CL3" i="33"/>
  <c r="CM3" i="33"/>
  <c r="CN3" i="33"/>
  <c r="CO3" i="33"/>
  <c r="CP3" i="33"/>
  <c r="CQ3" i="33"/>
  <c r="CR3" i="33"/>
  <c r="CS3" i="33"/>
  <c r="CT3" i="33"/>
  <c r="CU3" i="33"/>
  <c r="CV3" i="33"/>
  <c r="CW3" i="33"/>
  <c r="CX3" i="33"/>
  <c r="CY3" i="33"/>
  <c r="CZ3" i="33"/>
  <c r="DA3" i="33"/>
  <c r="DB3" i="33"/>
  <c r="DC3" i="33"/>
  <c r="DD3" i="33"/>
  <c r="DE3" i="33"/>
  <c r="DF3" i="33"/>
  <c r="DG3" i="33"/>
  <c r="DH3" i="33"/>
  <c r="DI3" i="33"/>
  <c r="DJ3" i="33"/>
  <c r="DK3" i="33"/>
  <c r="DL3" i="33"/>
  <c r="DM3" i="33"/>
  <c r="DN3" i="33"/>
  <c r="DO3" i="33"/>
  <c r="DP3" i="33"/>
  <c r="DQ3" i="33"/>
  <c r="DR3" i="33"/>
  <c r="DS3" i="33"/>
  <c r="DT3" i="33"/>
  <c r="DU3" i="33"/>
  <c r="DV3" i="33"/>
  <c r="DW3" i="33"/>
  <c r="DX3" i="33"/>
  <c r="DY3" i="33"/>
  <c r="DZ3" i="33"/>
  <c r="EA3" i="33"/>
  <c r="EB3" i="33"/>
  <c r="EC3" i="33"/>
  <c r="ED3" i="33"/>
  <c r="EE3" i="33"/>
  <c r="EF3" i="33"/>
  <c r="EG3" i="33"/>
  <c r="EH3" i="33"/>
  <c r="EI3" i="33"/>
  <c r="EJ3" i="33"/>
  <c r="EK3" i="33"/>
  <c r="EL3" i="33"/>
  <c r="EM3" i="33"/>
  <c r="EN3" i="33"/>
  <c r="EO3" i="33"/>
  <c r="EP3" i="33"/>
  <c r="EQ3" i="33"/>
  <c r="ER3" i="33"/>
  <c r="ES3" i="33"/>
  <c r="ET3" i="33"/>
  <c r="EU3" i="33"/>
  <c r="EV3" i="33"/>
  <c r="EW3" i="33"/>
  <c r="EX3" i="33"/>
  <c r="EY3" i="33"/>
  <c r="EZ3" i="33"/>
  <c r="FA3" i="33"/>
  <c r="FB3" i="33"/>
  <c r="FC3" i="33"/>
  <c r="FD3" i="33"/>
  <c r="FE3" i="33"/>
  <c r="FF3" i="33"/>
  <c r="FG3" i="33"/>
  <c r="FH3" i="33"/>
  <c r="FI3" i="33"/>
  <c r="FJ3" i="33"/>
  <c r="FK3" i="33"/>
  <c r="FL3" i="33"/>
  <c r="FM3" i="33"/>
  <c r="FN3" i="33"/>
  <c r="FO3" i="33"/>
  <c r="FP3" i="33"/>
  <c r="FQ3" i="33"/>
  <c r="FR3" i="33"/>
  <c r="FS3" i="33"/>
  <c r="FT3" i="33"/>
  <c r="FU3" i="33"/>
  <c r="FV3" i="33"/>
  <c r="FW3" i="33"/>
  <c r="FX3" i="33"/>
  <c r="FY3" i="33"/>
  <c r="FZ3" i="33"/>
  <c r="GA3" i="33"/>
  <c r="GB3" i="33"/>
  <c r="GC3" i="33"/>
  <c r="GD3" i="33"/>
  <c r="GE3" i="33"/>
  <c r="GF3" i="33"/>
  <c r="GG3" i="33"/>
  <c r="GH3" i="33"/>
  <c r="GI3" i="33"/>
  <c r="GJ3" i="33"/>
  <c r="GK3" i="33"/>
  <c r="GL3" i="33"/>
  <c r="GM3" i="33"/>
  <c r="GN3" i="33"/>
  <c r="GO3" i="33"/>
  <c r="GP3" i="33"/>
  <c r="GQ3" i="33"/>
  <c r="GR3" i="33"/>
  <c r="GS3" i="33"/>
  <c r="GT3" i="33"/>
  <c r="GU3" i="33"/>
  <c r="GV3" i="33"/>
  <c r="GW3" i="33"/>
  <c r="GX3" i="33"/>
  <c r="GY3" i="33"/>
  <c r="GZ3" i="33"/>
  <c r="HA3" i="33"/>
  <c r="HB3" i="33"/>
  <c r="HC3" i="33"/>
  <c r="HD3" i="33"/>
  <c r="HE3" i="33"/>
  <c r="HF3" i="33"/>
  <c r="HG3" i="33"/>
  <c r="HH3" i="33"/>
  <c r="HI3" i="33"/>
  <c r="HJ3" i="33"/>
  <c r="HK3" i="33"/>
  <c r="HL3" i="33"/>
  <c r="HM3" i="33"/>
  <c r="HN3" i="33"/>
  <c r="HO3" i="33"/>
  <c r="HP3" i="33"/>
  <c r="HQ3" i="33"/>
  <c r="HR3" i="33"/>
  <c r="HS3" i="33"/>
  <c r="HT3" i="33"/>
  <c r="HU3" i="33"/>
  <c r="HV3" i="33"/>
  <c r="HW3" i="33"/>
  <c r="HX3" i="33"/>
  <c r="HY3" i="33"/>
  <c r="HZ3" i="33"/>
  <c r="IA3" i="33"/>
  <c r="IB3" i="33"/>
  <c r="IC3" i="33"/>
  <c r="ID3" i="33"/>
  <c r="IE3" i="33"/>
  <c r="IF3" i="33"/>
  <c r="IG3" i="33"/>
  <c r="IH3" i="33"/>
  <c r="II3" i="33"/>
  <c r="IJ3" i="33"/>
  <c r="IK3" i="33"/>
  <c r="IL3" i="33"/>
  <c r="IM3" i="33"/>
  <c r="IN3" i="33"/>
  <c r="IO3" i="33"/>
  <c r="IP3" i="33"/>
  <c r="IQ3" i="33"/>
  <c r="IR3" i="33"/>
  <c r="IS3" i="33"/>
  <c r="IT3" i="33"/>
  <c r="IU3" i="33"/>
  <c r="IV3" i="33"/>
  <c r="A2" i="33"/>
  <c r="B2" i="33"/>
  <c r="C2" i="33"/>
  <c r="D2" i="33"/>
  <c r="E2" i="33"/>
  <c r="F2" i="33"/>
  <c r="G2" i="33"/>
  <c r="H2" i="33"/>
  <c r="I2" i="33"/>
  <c r="J2" i="33"/>
  <c r="K2" i="33"/>
  <c r="L2" i="33"/>
  <c r="M2" i="33"/>
  <c r="N2" i="33"/>
  <c r="O2" i="33"/>
  <c r="P2" i="33"/>
  <c r="Q2" i="33"/>
  <c r="R2" i="33"/>
  <c r="S2" i="33"/>
  <c r="T2" i="33"/>
  <c r="U2" i="33"/>
  <c r="V2" i="33"/>
  <c r="W2" i="33"/>
  <c r="X2" i="33"/>
  <c r="Y2" i="33"/>
  <c r="Z2" i="33"/>
  <c r="AA2" i="33"/>
  <c r="AB2" i="33"/>
  <c r="AC2" i="33"/>
  <c r="AD2" i="33"/>
  <c r="AE2" i="33"/>
  <c r="AF2" i="33"/>
  <c r="AG2" i="33"/>
  <c r="AH2" i="33"/>
  <c r="AI2" i="33"/>
  <c r="AJ2" i="33"/>
  <c r="AK2" i="33"/>
  <c r="AL2" i="33"/>
  <c r="AM2" i="33"/>
  <c r="AN2" i="33"/>
  <c r="AO2" i="33"/>
  <c r="AP2" i="33"/>
  <c r="AQ2" i="33"/>
  <c r="AR2" i="33"/>
  <c r="AS2" i="33"/>
  <c r="AT2" i="33"/>
  <c r="AU2" i="33"/>
  <c r="AV2" i="33"/>
  <c r="AW2" i="33"/>
  <c r="AX2" i="33"/>
  <c r="AY2" i="33"/>
  <c r="AZ2" i="33"/>
  <c r="BA2" i="33"/>
  <c r="BB2" i="33"/>
  <c r="BC2" i="33"/>
  <c r="BD2" i="33"/>
  <c r="BE2" i="33"/>
  <c r="BF2" i="33"/>
  <c r="BG2" i="33"/>
  <c r="BH2" i="33"/>
  <c r="BI2" i="33"/>
  <c r="BJ2" i="33"/>
  <c r="BK2" i="33"/>
  <c r="BL2" i="33"/>
  <c r="BM2" i="33"/>
  <c r="BN2" i="33"/>
  <c r="BO2" i="33"/>
  <c r="BP2" i="33"/>
  <c r="BQ2" i="33"/>
  <c r="BR2" i="33"/>
  <c r="BS2" i="33"/>
  <c r="BT2" i="33"/>
  <c r="BU2" i="33"/>
  <c r="BV2" i="33"/>
  <c r="BW2" i="33"/>
  <c r="BX2" i="33"/>
  <c r="BY2" i="33"/>
  <c r="BZ2" i="33"/>
  <c r="CA2" i="33"/>
  <c r="CB2" i="33"/>
  <c r="CC2" i="33"/>
  <c r="CD2" i="33"/>
  <c r="CE2" i="33"/>
  <c r="CF2" i="33"/>
  <c r="CG2" i="33"/>
  <c r="CH2" i="33"/>
  <c r="CI2" i="33"/>
  <c r="CJ2" i="33"/>
  <c r="CK2" i="33"/>
  <c r="CL2" i="33"/>
  <c r="CM2" i="33"/>
  <c r="CN2" i="33"/>
  <c r="CO2" i="33"/>
  <c r="CP2" i="33"/>
  <c r="CQ2" i="33"/>
  <c r="CR2" i="33"/>
  <c r="CS2" i="33"/>
  <c r="CT2" i="33"/>
  <c r="CU2" i="33"/>
  <c r="CV2" i="33"/>
  <c r="CW2" i="33"/>
  <c r="CX2" i="33"/>
  <c r="CY2" i="33"/>
  <c r="CZ2" i="33"/>
  <c r="DA2" i="33"/>
  <c r="DB2" i="33"/>
  <c r="DC2" i="33"/>
  <c r="DD2" i="33"/>
  <c r="DE2" i="33"/>
  <c r="DF2" i="33"/>
  <c r="DG2" i="33"/>
  <c r="DH2" i="33"/>
  <c r="DI2" i="33"/>
  <c r="DJ2" i="33"/>
  <c r="DK2" i="33"/>
  <c r="DL2" i="33"/>
  <c r="DM2" i="33"/>
  <c r="DN2" i="33"/>
  <c r="DO2" i="33"/>
  <c r="DP2" i="33"/>
  <c r="DQ2" i="33"/>
  <c r="DR2" i="33"/>
  <c r="DS2" i="33"/>
  <c r="DT2" i="33"/>
  <c r="DU2" i="33"/>
  <c r="DV2" i="33"/>
  <c r="DW2" i="33"/>
  <c r="DX2" i="33"/>
  <c r="DY2" i="33"/>
  <c r="DZ2" i="33"/>
  <c r="EA2" i="33"/>
  <c r="EB2" i="33"/>
  <c r="EC2" i="33"/>
  <c r="ED2" i="33"/>
  <c r="EE2" i="33"/>
  <c r="EF2" i="33"/>
  <c r="EG2" i="33"/>
  <c r="EH2" i="33"/>
  <c r="EI2" i="33"/>
  <c r="EJ2" i="33"/>
  <c r="EK2" i="33"/>
  <c r="EL2" i="33"/>
  <c r="EM2" i="33"/>
  <c r="EN2" i="33"/>
  <c r="EO2" i="33"/>
  <c r="EP2" i="33"/>
  <c r="EQ2" i="33"/>
  <c r="ER2" i="33"/>
  <c r="ES2" i="33"/>
  <c r="ET2" i="33"/>
  <c r="EU2" i="33"/>
  <c r="EV2" i="33"/>
  <c r="EW2" i="33"/>
  <c r="EX2" i="33"/>
  <c r="EY2" i="33"/>
  <c r="EZ2" i="33"/>
  <c r="FA2" i="33"/>
  <c r="FB2" i="33"/>
  <c r="FC2" i="33"/>
  <c r="FD2" i="33"/>
  <c r="FE2" i="33"/>
  <c r="FF2" i="33"/>
  <c r="FG2" i="33"/>
  <c r="FH2" i="33"/>
  <c r="FI2" i="33"/>
  <c r="FJ2" i="33"/>
  <c r="FK2" i="33"/>
  <c r="FL2" i="33"/>
  <c r="FM2" i="33"/>
  <c r="FN2" i="33"/>
  <c r="FO2" i="33"/>
  <c r="FP2" i="33"/>
  <c r="FQ2" i="33"/>
  <c r="FR2" i="33"/>
  <c r="FS2" i="33"/>
  <c r="FT2" i="33"/>
  <c r="FU2" i="33"/>
  <c r="FV2" i="33"/>
  <c r="FW2" i="33"/>
  <c r="FX2" i="33"/>
  <c r="FY2" i="33"/>
  <c r="FZ2" i="33"/>
  <c r="GA2" i="33"/>
  <c r="GB2" i="33"/>
  <c r="GC2" i="33"/>
  <c r="GD2" i="33"/>
  <c r="GE2" i="33"/>
  <c r="GF2" i="33"/>
  <c r="GG2" i="33"/>
  <c r="GH2" i="33"/>
  <c r="GI2" i="33"/>
  <c r="GJ2" i="33"/>
  <c r="GK2" i="33"/>
  <c r="GL2" i="33"/>
  <c r="GM2" i="33"/>
  <c r="GN2" i="33"/>
  <c r="GO2" i="33"/>
  <c r="GP2" i="33"/>
  <c r="GQ2" i="33"/>
  <c r="GR2" i="33"/>
  <c r="GS2" i="33"/>
  <c r="GT2" i="33"/>
  <c r="GU2" i="33"/>
  <c r="GV2" i="33"/>
  <c r="GW2" i="33"/>
  <c r="GX2" i="33"/>
  <c r="GY2" i="33"/>
  <c r="GZ2" i="33"/>
  <c r="HA2" i="33"/>
  <c r="HB2" i="33"/>
  <c r="HC2" i="33"/>
  <c r="HD2" i="33"/>
  <c r="HE2" i="33"/>
  <c r="HF2" i="33"/>
  <c r="HG2" i="33"/>
  <c r="HH2" i="33"/>
  <c r="HI2" i="33"/>
  <c r="HJ2" i="33"/>
  <c r="HK2" i="33"/>
  <c r="HL2" i="33"/>
  <c r="HM2" i="33"/>
  <c r="HN2" i="33"/>
  <c r="HO2" i="33"/>
  <c r="HP2" i="33"/>
  <c r="HQ2" i="33"/>
  <c r="HR2" i="33"/>
  <c r="HS2" i="33"/>
  <c r="HT2" i="33"/>
  <c r="HU2" i="33"/>
  <c r="HV2" i="33"/>
  <c r="HW2" i="33"/>
  <c r="HX2" i="33"/>
  <c r="HY2" i="33"/>
  <c r="HZ2" i="33"/>
  <c r="IA2" i="33"/>
  <c r="IB2" i="33"/>
  <c r="IC2" i="33"/>
  <c r="ID2" i="33"/>
  <c r="IE2" i="33"/>
  <c r="IF2" i="33"/>
  <c r="IG2" i="33"/>
  <c r="IH2" i="33"/>
  <c r="II2" i="33"/>
  <c r="IJ2" i="33"/>
  <c r="IK2" i="33"/>
  <c r="IL2" i="33"/>
  <c r="IM2" i="33"/>
  <c r="IN2" i="33"/>
  <c r="IO2" i="33"/>
  <c r="IP2" i="33"/>
  <c r="IQ2" i="33"/>
  <c r="IR2" i="33"/>
  <c r="IS2" i="33"/>
  <c r="IT2" i="33"/>
  <c r="IU2" i="33"/>
  <c r="IV2" i="33"/>
  <c r="A1" i="33"/>
  <c r="B1" i="33"/>
  <c r="C1" i="33"/>
  <c r="D1" i="33"/>
  <c r="E1" i="33"/>
  <c r="F1" i="33"/>
  <c r="G1" i="33"/>
  <c r="H1" i="33"/>
  <c r="I1" i="33"/>
  <c r="J1" i="33"/>
  <c r="K1" i="33"/>
  <c r="L1" i="33"/>
  <c r="M1" i="33"/>
  <c r="N1" i="33"/>
  <c r="O1" i="33"/>
  <c r="P1" i="33"/>
  <c r="Q1" i="33"/>
  <c r="R1" i="33"/>
  <c r="S1" i="33"/>
  <c r="T1" i="33"/>
  <c r="U1" i="33"/>
  <c r="V1" i="33"/>
  <c r="W1" i="33"/>
  <c r="X1" i="33"/>
  <c r="Y1" i="33"/>
  <c r="Z1" i="33"/>
  <c r="AA1" i="33"/>
  <c r="AB1" i="33"/>
  <c r="AC1" i="33"/>
  <c r="AD1" i="33"/>
  <c r="AE1" i="33"/>
  <c r="AF1" i="33"/>
  <c r="AG1" i="33"/>
  <c r="AH1" i="33"/>
  <c r="AI1" i="33"/>
  <c r="AJ1" i="33"/>
  <c r="AK1" i="33"/>
  <c r="AL1" i="33"/>
  <c r="AM1" i="33"/>
  <c r="AN1" i="33"/>
  <c r="AO1" i="33"/>
  <c r="AP1" i="33"/>
  <c r="AQ1" i="33"/>
  <c r="AR1" i="33"/>
  <c r="AS1" i="33"/>
  <c r="AT1" i="33"/>
  <c r="AU1" i="33"/>
  <c r="AV1" i="33"/>
  <c r="AW1" i="33"/>
  <c r="AX1" i="33"/>
  <c r="AY1" i="33"/>
  <c r="AZ1" i="33"/>
  <c r="BA1" i="33"/>
  <c r="BB1" i="33"/>
  <c r="BC1" i="33"/>
  <c r="BD1" i="33"/>
  <c r="BE1" i="33"/>
  <c r="BF1" i="33"/>
  <c r="BG1" i="33"/>
  <c r="BH1" i="33"/>
  <c r="BI1" i="33"/>
  <c r="BJ1" i="33"/>
  <c r="BK1" i="33"/>
  <c r="BL1" i="33"/>
  <c r="BM1" i="33"/>
  <c r="BN1" i="33"/>
  <c r="BO1" i="33"/>
  <c r="BP1" i="33"/>
  <c r="BQ1" i="33"/>
  <c r="BR1" i="33"/>
  <c r="BS1" i="33"/>
  <c r="BT1" i="33"/>
  <c r="BU1" i="33"/>
  <c r="BV1" i="33"/>
  <c r="BW1" i="33"/>
  <c r="BX1" i="33"/>
  <c r="BY1" i="33"/>
  <c r="BZ1" i="33"/>
  <c r="CA1" i="33"/>
  <c r="CB1" i="33"/>
  <c r="CC1" i="33"/>
  <c r="CD1" i="33"/>
  <c r="CE1" i="33"/>
  <c r="CF1" i="33"/>
  <c r="CG1" i="33"/>
  <c r="CH1" i="33"/>
  <c r="CI1" i="33"/>
  <c r="CJ1" i="33"/>
  <c r="CK1" i="33"/>
  <c r="CL1" i="33"/>
  <c r="CM1" i="33"/>
  <c r="CN1" i="33"/>
  <c r="CO1" i="33"/>
  <c r="CP1" i="33"/>
  <c r="CQ1" i="33"/>
  <c r="CR1" i="33"/>
  <c r="CS1" i="33"/>
  <c r="CT1" i="33"/>
  <c r="CU1" i="33"/>
  <c r="CV1" i="33"/>
  <c r="CW1" i="33"/>
  <c r="CX1" i="33"/>
  <c r="CY1" i="33"/>
  <c r="CZ1" i="33"/>
  <c r="DA1" i="33"/>
  <c r="DB1" i="33"/>
  <c r="DC1" i="33"/>
  <c r="DD1" i="33"/>
  <c r="DE1" i="33"/>
  <c r="DF1" i="33"/>
  <c r="DG1" i="33"/>
  <c r="DH1" i="33"/>
  <c r="DI1" i="33"/>
  <c r="DJ1" i="33"/>
  <c r="DK1" i="33"/>
  <c r="DL1" i="33"/>
  <c r="DM1" i="33"/>
  <c r="DN1" i="33"/>
  <c r="DO1" i="33"/>
  <c r="DP1" i="33"/>
  <c r="DQ1" i="33"/>
  <c r="DR1" i="33"/>
  <c r="DS1" i="33"/>
  <c r="DT1" i="33"/>
  <c r="DU1" i="33"/>
  <c r="DV1" i="33"/>
  <c r="DW1" i="33"/>
  <c r="DX1" i="33"/>
  <c r="DY1" i="33"/>
  <c r="DZ1" i="33"/>
  <c r="EA1" i="33"/>
  <c r="EB1" i="33"/>
  <c r="EC1" i="33"/>
  <c r="ED1" i="33"/>
  <c r="EE1" i="33"/>
  <c r="EF1" i="33"/>
  <c r="EG1" i="33"/>
  <c r="EH1" i="33"/>
  <c r="EI1" i="33"/>
  <c r="EJ1" i="33"/>
  <c r="EK1" i="33"/>
  <c r="EL1" i="33"/>
  <c r="EM1" i="33"/>
  <c r="EN1" i="33"/>
  <c r="EO1" i="33"/>
  <c r="EP1" i="33"/>
  <c r="EQ1" i="33"/>
  <c r="ER1" i="33"/>
  <c r="ES1" i="33"/>
  <c r="ET1" i="33"/>
  <c r="EU1" i="33"/>
  <c r="EV1" i="33"/>
  <c r="EW1" i="33"/>
  <c r="EX1" i="33"/>
  <c r="EY1" i="33"/>
  <c r="EZ1" i="33"/>
  <c r="FA1" i="33"/>
  <c r="FB1" i="33"/>
  <c r="FC1" i="33"/>
  <c r="FD1" i="33"/>
  <c r="FE1" i="33"/>
  <c r="FF1" i="33"/>
  <c r="FG1" i="33"/>
  <c r="FH1" i="33"/>
  <c r="FI1" i="33"/>
  <c r="FJ1" i="33"/>
  <c r="FK1" i="33"/>
  <c r="FL1" i="33"/>
  <c r="FM1" i="33"/>
  <c r="FN1" i="33"/>
  <c r="FO1" i="33"/>
  <c r="FP1" i="33"/>
  <c r="FQ1" i="33"/>
  <c r="FR1" i="33"/>
  <c r="FS1" i="33"/>
  <c r="FT1" i="33"/>
  <c r="FU1" i="33"/>
  <c r="FV1" i="33"/>
  <c r="FW1" i="33"/>
  <c r="FX1" i="33"/>
  <c r="FY1" i="33"/>
  <c r="FZ1" i="33"/>
  <c r="GA1" i="33"/>
  <c r="GB1" i="33"/>
  <c r="GC1" i="33"/>
  <c r="GD1" i="33"/>
  <c r="GE1" i="33"/>
  <c r="GF1" i="33"/>
  <c r="GG1" i="33"/>
  <c r="GH1" i="33"/>
  <c r="GI1" i="33"/>
  <c r="GJ1" i="33"/>
  <c r="GK1" i="33"/>
  <c r="GL1" i="33"/>
  <c r="GM1" i="33"/>
  <c r="GN1" i="33"/>
  <c r="GO1" i="33"/>
  <c r="GP1" i="33"/>
  <c r="GQ1" i="33"/>
  <c r="GR1" i="33"/>
  <c r="GS1" i="33"/>
  <c r="GT1" i="33"/>
  <c r="GU1" i="33"/>
  <c r="GV1" i="33"/>
  <c r="GW1" i="33"/>
  <c r="GX1" i="33"/>
  <c r="GY1" i="33"/>
  <c r="GZ1" i="33"/>
  <c r="HA1" i="33"/>
  <c r="HB1" i="33"/>
  <c r="HC1" i="33"/>
  <c r="HD1" i="33"/>
  <c r="HE1" i="33"/>
  <c r="HF1" i="33"/>
  <c r="HG1" i="33"/>
  <c r="HH1" i="33"/>
  <c r="HI1" i="33"/>
  <c r="HJ1" i="33"/>
  <c r="HK1" i="33"/>
  <c r="HL1" i="33"/>
  <c r="HM1" i="33"/>
  <c r="HN1" i="33"/>
  <c r="HO1" i="33"/>
  <c r="HP1" i="33"/>
  <c r="HQ1" i="33"/>
  <c r="HR1" i="33"/>
  <c r="HS1" i="33"/>
  <c r="HT1" i="33"/>
  <c r="HU1" i="33"/>
  <c r="HV1" i="33"/>
  <c r="HW1" i="33"/>
  <c r="HX1" i="33"/>
  <c r="HY1" i="33"/>
  <c r="HZ1" i="33"/>
  <c r="IA1" i="33"/>
  <c r="IB1" i="33"/>
  <c r="IC1" i="33"/>
  <c r="ID1" i="33"/>
  <c r="IE1" i="33"/>
  <c r="IF1" i="33"/>
  <c r="IG1" i="33"/>
  <c r="IH1" i="33"/>
  <c r="II1" i="33"/>
  <c r="IJ1" i="33"/>
  <c r="IK1" i="33"/>
  <c r="IL1" i="33"/>
  <c r="IM1" i="33"/>
  <c r="IN1" i="33"/>
  <c r="IO1" i="33"/>
  <c r="IP1" i="33"/>
  <c r="IQ1" i="33"/>
  <c r="IR1" i="33"/>
  <c r="IS1" i="33"/>
  <c r="IT1" i="33"/>
  <c r="IU1" i="33"/>
  <c r="IV1" i="33"/>
  <c r="F28" i="33"/>
  <c r="AW19" i="33"/>
  <c r="AY19" i="33"/>
  <c r="F31" i="33"/>
  <c r="F11" i="33"/>
  <c r="AK21" i="33"/>
  <c r="FX38" i="33"/>
  <c r="AL21" i="33"/>
  <c r="FY38" i="33"/>
  <c r="AD21" i="33"/>
  <c r="FQ38" i="33"/>
  <c r="EE22" i="33"/>
  <c r="U24" i="33"/>
  <c r="EF22" i="33"/>
  <c r="V24" i="33"/>
  <c r="DX22" i="33"/>
  <c r="N24" i="33"/>
  <c r="K40" i="33"/>
  <c r="BA19" i="33"/>
  <c r="BB19" i="33"/>
  <c r="AT19" i="33"/>
  <c r="A18" i="33"/>
  <c r="S40" i="33"/>
  <c r="R40" i="33"/>
  <c r="I34" i="33"/>
  <c r="EH36" i="33"/>
  <c r="EG36" i="33"/>
  <c r="IQ32" i="33"/>
  <c r="H5" i="33"/>
  <c r="I15" i="33"/>
  <c r="IS32" i="33"/>
  <c r="IT32" i="33"/>
  <c r="IL32" i="33"/>
  <c r="CR16" i="33"/>
  <c r="CO16" i="33"/>
  <c r="CV16" i="33"/>
  <c r="CW16" i="33"/>
  <c r="C4" i="2" l="1"/>
  <c r="G56" i="43"/>
  <c r="C3" i="2" s="1"/>
  <c r="I15" i="45"/>
  <c r="H16" i="45"/>
  <c r="I16" i="45" s="1"/>
  <c r="A16" i="45" s="1"/>
  <c r="H17" i="45" s="1"/>
  <c r="I17" i="45" s="1"/>
  <c r="A17" i="45" s="1"/>
  <c r="H18" i="45" s="1"/>
  <c r="C6" i="2" l="1"/>
  <c r="I18" i="45"/>
  <c r="H19" i="45"/>
  <c r="I19" i="45" l="1"/>
  <c r="H20" i="45"/>
  <c r="H21" i="45" l="1"/>
  <c r="I20" i="45"/>
  <c r="I21" i="45" l="1"/>
  <c r="H22" i="45"/>
  <c r="H23" i="45" l="1"/>
  <c r="I22" i="45"/>
  <c r="I23" i="45" l="1"/>
  <c r="H24" i="45"/>
  <c r="I24" i="45" l="1"/>
  <c r="H25" i="45"/>
  <c r="I25" i="45" s="1"/>
  <c r="A25" i="45" s="1"/>
  <c r="H26" i="45" s="1"/>
  <c r="I26" i="45" s="1"/>
  <c r="A26" i="45" s="1"/>
  <c r="H27" i="45" s="1"/>
  <c r="I27" i="45" s="1"/>
  <c r="A27" i="45" s="1"/>
  <c r="H28" i="45" s="1"/>
  <c r="I28" i="45" s="1"/>
  <c r="A28" i="45" s="1"/>
  <c r="H29" i="45" s="1"/>
  <c r="I29" i="45" s="1"/>
  <c r="A29" i="45" s="1"/>
  <c r="H30" i="45" l="1"/>
  <c r="H34" i="45"/>
  <c r="I34" i="45" s="1"/>
  <c r="A34" i="45" s="1"/>
  <c r="H35" i="45" s="1"/>
  <c r="I35" i="45" s="1"/>
  <c r="A35" i="45" s="1"/>
  <c r="H36" i="45" s="1"/>
  <c r="I36" i="45" s="1"/>
  <c r="A36" i="45" s="1"/>
  <c r="H37" i="45" s="1"/>
  <c r="I37" i="45" s="1"/>
  <c r="A37" i="45" s="1"/>
  <c r="H38" i="45" s="1"/>
  <c r="I38" i="45" s="1"/>
  <c r="A38" i="45" s="1"/>
  <c r="H39" i="45" s="1"/>
  <c r="I39" i="45" s="1"/>
  <c r="A39" i="45" s="1"/>
  <c r="H40" i="45" s="1"/>
  <c r="I40" i="45" s="1"/>
  <c r="A40" i="45" s="1"/>
  <c r="H41" i="45" s="1"/>
  <c r="I41" i="45" s="1"/>
  <c r="A41" i="45" s="1"/>
  <c r="H42" i="45" s="1"/>
  <c r="I42" i="45" s="1"/>
  <c r="A42" i="45" s="1"/>
  <c r="H43" i="45" s="1"/>
  <c r="I43" i="45" s="1"/>
  <c r="A43" i="45" s="1"/>
  <c r="H44" i="45" l="1"/>
  <c r="I44" i="45" s="1"/>
  <c r="A44" i="45" s="1"/>
  <c r="H47" i="45" s="1"/>
  <c r="H45" i="45"/>
  <c r="I45" i="45" s="1"/>
  <c r="I30" i="45"/>
  <c r="H31" i="45"/>
  <c r="I31" i="45" l="1"/>
  <c r="H33" i="45"/>
  <c r="I33" i="45" s="1"/>
  <c r="I47" i="45"/>
  <c r="H48" i="45"/>
  <c r="H49" i="45" l="1"/>
  <c r="I48" i="45"/>
  <c r="H50" i="45" l="1"/>
  <c r="I49" i="45"/>
  <c r="H51" i="45" l="1"/>
  <c r="I50" i="45"/>
  <c r="H52" i="45" l="1"/>
  <c r="I51" i="45"/>
  <c r="I52" i="45" l="1"/>
  <c r="H56" i="45"/>
  <c r="I56" i="45" s="1"/>
</calcChain>
</file>

<file path=xl/sharedStrings.xml><?xml version="1.0" encoding="utf-8"?>
<sst xmlns="http://schemas.openxmlformats.org/spreadsheetml/2006/main" count="373" uniqueCount="284">
  <si>
    <t>kompleta</t>
  </si>
  <si>
    <t>Sitni potrošni materijal koji nije obuhvaćen u navedenim stavkama, kao što su beskonačni vijci za učvršćenje, tiple, vijci.</t>
  </si>
  <si>
    <t>Montaža sa ispuhivanjem cijevnog razvoda tlačna proba sa N2 na 25 bara, vakumiranje razvoda, nadopunjavanjem sistema, puštanjem u pogon i upućivanjem osoblja u rad sistema, izdavanje atesta i garancija. U montažu uključeno i probijanje zidova za prolaz cijevi.</t>
  </si>
  <si>
    <t>m2</t>
  </si>
  <si>
    <t>Stavka</t>
  </si>
  <si>
    <t>Vrsta i opis rada</t>
  </si>
  <si>
    <t>Jedinična
mjera</t>
  </si>
  <si>
    <t>Količina</t>
  </si>
  <si>
    <t>UKUPNO</t>
  </si>
  <si>
    <t>REKAPITULACIJA</t>
  </si>
  <si>
    <t>Jedinična
cijena [kn]</t>
  </si>
  <si>
    <t>Ukupno
[kn]</t>
  </si>
  <si>
    <t>iznos</t>
  </si>
  <si>
    <t xml:space="preserve"> </t>
  </si>
  <si>
    <t>NO40</t>
  </si>
  <si>
    <t>NO32</t>
  </si>
  <si>
    <t>NO15</t>
  </si>
  <si>
    <t>komada</t>
  </si>
  <si>
    <t>metara</t>
  </si>
  <si>
    <t>CITARA d.o.o., Zagreb, Desinićka 20</t>
  </si>
  <si>
    <t>tel/fax: 01364 3421</t>
  </si>
  <si>
    <t>Projektantski ured strojarskih instalacija i postrojenja</t>
  </si>
  <si>
    <t>Broj projekta:</t>
  </si>
  <si>
    <t>Broj mape:</t>
  </si>
  <si>
    <t>Investitor:</t>
  </si>
  <si>
    <t>Građevina:</t>
  </si>
  <si>
    <t>Lokacija:</t>
  </si>
  <si>
    <t>Glavni projektant:</t>
  </si>
  <si>
    <t>Potpis:</t>
  </si>
  <si>
    <t>M.P.</t>
  </si>
  <si>
    <t>Projektant:</t>
  </si>
  <si>
    <t xml:space="preserve">Direktor:  </t>
  </si>
  <si>
    <t xml:space="preserve">   </t>
  </si>
  <si>
    <t>Zagreb,</t>
  </si>
  <si>
    <t>CITARA d.o.o., Zagreb pridržava sva autorska prava te pravo korištenje i umnožavanja ove dokumentacije.</t>
  </si>
  <si>
    <t>Investitor ima pravo koristiti ovu dokumentaciju samo za navedenu građevinu u skladu sa ugovorom.</t>
  </si>
  <si>
    <t>kg</t>
  </si>
  <si>
    <t xml:space="preserve">                </t>
  </si>
  <si>
    <t>Marinko Zečević, dipl.ing.stroj.</t>
  </si>
  <si>
    <r>
      <t>Suradnici:</t>
    </r>
    <r>
      <rPr>
        <sz val="12"/>
        <rFont val="Calibri"/>
        <family val="2"/>
        <charset val="238"/>
      </rPr>
      <t/>
    </r>
  </si>
  <si>
    <t>AAAAAE+/n0g=</t>
  </si>
  <si>
    <t>AAAAAE+/n0k=</t>
  </si>
  <si>
    <t>AAAAAE+/n0o=</t>
  </si>
  <si>
    <t>AAAAAE+/n0s=</t>
  </si>
  <si>
    <t>1.</t>
  </si>
  <si>
    <t>2.</t>
  </si>
  <si>
    <t>NO50</t>
  </si>
  <si>
    <t>Potrebni elektro radovi na spajanju vanjske i unutrašnje jedinice, spoj sa elektro ormarom, uključujući potrebno ožičenje.</t>
  </si>
  <si>
    <t>Dobava DC INVERTER rashladnog kondenzatorsko / kompresorskog sustava za hlađenje i grijanje, koji obvezatno mora imati automatski restart po prekidu i ponovnom uspostavljanju napajanja s mikroprocerskom regulacionom automatikom i elektronskim ekspanzijskim ventilom (dizalica topline) "Split" izvedbe, koja se sastoji od jedne vanjske i više unutarnjih jedinica.</t>
  </si>
  <si>
    <t>Profilno željezo za postavu i učvršćenje vanjskog uređaja na zid objekta sa antivibracionom podlogom, komplet sa vijcima i materijalom za učvršćenje, sve  antikorozivno zaštitćeno.</t>
  </si>
  <si>
    <t>Sredstvo za hlađenje R410A, za dopunjavanja u sustavu cijevi rashlada</t>
  </si>
  <si>
    <t>Dražen Jagatić, ing.stroj.</t>
  </si>
  <si>
    <r>
      <t>PVC cijev za odvod kondenzata, dimenzija:</t>
    </r>
    <r>
      <rPr>
        <sz val="11"/>
        <rFont val="Symbol"/>
        <family val="1"/>
        <charset val="2"/>
      </rPr>
      <t/>
    </r>
  </si>
  <si>
    <t>lipanj</t>
  </si>
  <si>
    <r>
      <rPr>
        <sz val="11"/>
        <rFont val="Symbol"/>
        <family val="1"/>
        <charset val="2"/>
      </rPr>
      <t>Ć</t>
    </r>
    <r>
      <rPr>
        <sz val="11"/>
        <rFont val="Calibri"/>
        <family val="2"/>
        <charset val="238"/>
      </rPr>
      <t xml:space="preserve"> 12,7 mm</t>
    </r>
  </si>
  <si>
    <r>
      <rPr>
        <sz val="11"/>
        <rFont val="Symbol"/>
        <family val="1"/>
        <charset val="2"/>
      </rPr>
      <t>Ć</t>
    </r>
    <r>
      <rPr>
        <sz val="11"/>
        <rFont val="Calibri"/>
        <family val="2"/>
        <charset val="238"/>
      </rPr>
      <t xml:space="preserve"> 9,52 mm</t>
    </r>
  </si>
  <si>
    <r>
      <rPr>
        <sz val="11"/>
        <rFont val="Symbol"/>
        <family val="1"/>
        <charset val="2"/>
      </rPr>
      <t>Ć</t>
    </r>
    <r>
      <rPr>
        <sz val="11"/>
        <rFont val="Calibri"/>
        <family val="2"/>
        <charset val="238"/>
      </rPr>
      <t xml:space="preserve"> 6,35 mm</t>
    </r>
  </si>
  <si>
    <r>
      <rPr>
        <sz val="11"/>
        <rFont val="Symbol"/>
        <family val="1"/>
        <charset val="2"/>
      </rPr>
      <t xml:space="preserve">Ć </t>
    </r>
    <r>
      <rPr>
        <sz val="11"/>
        <rFont val="Calibri"/>
        <family val="2"/>
        <charset val="238"/>
      </rPr>
      <t>20 mm</t>
    </r>
  </si>
  <si>
    <r>
      <rPr>
        <sz val="11"/>
        <rFont val="Symbol"/>
        <family val="1"/>
        <charset val="2"/>
      </rPr>
      <t xml:space="preserve">Ć </t>
    </r>
    <r>
      <rPr>
        <sz val="11"/>
        <rFont val="Calibri"/>
        <family val="2"/>
        <charset val="238"/>
      </rPr>
      <t>25 mm</t>
    </r>
  </si>
  <si>
    <t>INSTALACIJA GRIJANJA/HLAĐENJA</t>
  </si>
  <si>
    <t>2439/17</t>
  </si>
  <si>
    <t>ŠTED INVEST d.o.o.</t>
  </si>
  <si>
    <t>PAVILJONI AD TURRES</t>
  </si>
  <si>
    <t>Ulica Milovana Muževića 20</t>
  </si>
  <si>
    <t>Dramalj, k.o. Crikvenica</t>
  </si>
  <si>
    <t>TROŠKOVNIK INSTALACIJA</t>
  </si>
  <si>
    <t>GRIJANJA, HLAĐENJA I PRIPREME PTV-e</t>
  </si>
  <si>
    <t>Marina Balin-Fadejev, dipl.ing.arh.</t>
  </si>
  <si>
    <t>Alex Hlušička, mag.ing.stroj.</t>
  </si>
  <si>
    <t>2017.</t>
  </si>
  <si>
    <t>0.</t>
  </si>
  <si>
    <t>OPĆI UVJETI I OPĆI TROŠKOVI</t>
  </si>
  <si>
    <t>Izvođač radova prije izrade ponude treba dobro pregledati tehničku dokumentaciju, upoznati se sa postojećim stanjem na terenu, te eventualno zatražiti sva potrebna objašnjenja od projektanta i investitora, kako bi ponuda bila realna. U tom smislu ponudbene stavke iz ovog troškovnika moraju sadržavati sve dobave materijala s točno određenim tipovima i vrstom opreme, potrebnim atestima i sl., kao i sve potrebne transporte, prijenos po gradilištu, te ugradnju do finalnog proizvoda, i to tako da su od ponuđača radova provjerene sve troškovničke količine i prema potrebi korigirane.</t>
  </si>
  <si>
    <t>Sve radove izvesti od kvalitetnog materijala prema opisima i detaljima, i to sve u okviru ponuđene jedinične cijene. Sve štete učinjene prigodom rada vlastitim ili tuđim radovima imaju se ukloniti na račun počinitelja.</t>
  </si>
  <si>
    <t>Svi nekvalitetni radovi imaju se otkloniti i zamijeniti ispravnim, bez bilo kakve odštete od strane investitora.</t>
  </si>
  <si>
    <t>Ako opis koje stavke dovodi izvoditelja u sumnju o načinu izvedbe, treba pravovremeno prije predaje ponude tražiti objašnjenje od projektanta.</t>
  </si>
  <si>
    <t>Eventualne izmjene materijala te načina izvedbe tokom građenja moraju se izvršiti isključivo pismenim dogovorom s projektantom i nadzornim inženjerom.</t>
  </si>
  <si>
    <t>Sve više radnje koje neće biti na taj način utvrđene neće se moći priznati u obračunu.</t>
  </si>
  <si>
    <t>Jedinična cijena sadrži sve nabrojeno u opisu pojedine grupe radova, te se na taj način vrši i obračun istih.</t>
  </si>
  <si>
    <t>Jedinične cijene primjenjivat će se na izvedene količine bez obzira u kojem postotku iste odstupaju od količine u troškovniku.</t>
  </si>
  <si>
    <t>Izvedeni radovi moraju u cijelosti odgovarati opisu troškovnika, a u tu svrhu investitor ima pravo od izvoditelja tražiti prije početka radova uzorke koji se čuvaju u upravi gradilišta, te izvedeni radovi moraju istima u cijelosti odgovarati.</t>
  </si>
  <si>
    <t>Sastavni dio projektnog elaborata uz nacrte, tehnički opis i opće uvjete izvođenja  je ovaj troškovnik. Ukoliko iz bilo kojih razloga dođe do odstupanja od podataka iz troškovnika, u odnosu na podatke iz nacrta, vrijede podaci iz nacrta. Uz opće uvjete ovog troškovnika, nužno je pratiti opis, koji se smatra sastavnim dijelom ovog troškovnika.</t>
  </si>
  <si>
    <t>Sve eventualne nejasnoće dužan je izvođač razjasniti s projektantima prije podnošenja ponude, jer se naknadne primjedbe u tom smislu neće moći uvažiti. Radove treba izvesti po opisu pojedine stavke troškovnika, općim uvjetima pojedinih grupa radova i ovim općim uvjetima.</t>
  </si>
  <si>
    <t>Izvođač radova je dužan prije početka radova detaljno pregledati projektni elaborat i staviti na njega primjedbe. Ukoliko pronađe nepravilnosti mora ih, kao i svoje prijedloge za bolja rješenja dati investitoru na vrijeme, kako ne bi trpio ugovoreni rok završetka radova. Izvoditelj radova je dužan prije narudžbe materijala i prije početka radova izaći na gradilište, pregledati ga i utvrditi stanje građevinskih radova, te na licu mjesta prekontrolirati projekt, sve mjere, kote i količine iznesene u ovom projektu, a naročito u odnosu na već izvedeni građevinski objekt, te o svim neusklađenostima izvjestiti investitora. U sIučaju nekih izmjena na terenu ili na objektu, ili ako to doprinosi racionalnijem radu instalacije odnosno smanjenju investicije, može izvoditelj s dovoljno obrazloženja tražiti da se projekt upotpuni ili prilagodi postojećem stanju. Projekt može izmjeniti samo ako od investitora ishodi odobrenje izmjene. U slučaju navedenih izmjena izvoditelj preuzima odgovornost za prerađeni projekt.</t>
  </si>
  <si>
    <t>Konačni obračun vrši se na osnovu stvarno izvedenih količina, a po jediničnim cijenama ugovornog troškovnika. Ovo važi ukoliko se drukčije ne ugovori.</t>
  </si>
  <si>
    <t>U cijeni moraju biti sadržani i radovi koji se neće posebno platiti kao što su:</t>
  </si>
  <si>
    <t>- zaštita dijelova na kojima se ne vrši zahvat</t>
  </si>
  <si>
    <t>- svi režijski sati, osim troškovnikom predviđenih ili po nadzornom inženjeru ovjerenih</t>
  </si>
  <si>
    <t>- sva ispitivanja materijala prema programu osiguranja kvalitete</t>
  </si>
  <si>
    <t>- uređivanje gradilišta po završetku rada s otklanjanjem svih otpadaka, oplate i slično</t>
  </si>
  <si>
    <t>- uskladištenje materijala i elemenata za obrtničke i instalaterske radove do njihove ugradbe</t>
  </si>
  <si>
    <t>- sve radove vezane uz primjenu pravila zaštite na radu</t>
  </si>
  <si>
    <t xml:space="preserve">Garantni rok za kvalitetu montažnih radova treba utanačiti prema zakonskim propisima, a za ugrađenu opremu garantni rok se određuje prema garanciji proizvođača opreme, računajući od dana tehničkog prijema instalacije. Svaki kvar koji se dogodi na instalaciji u garantnom roku, a prouzročen je isporukom Iošeg materijala ili nesolidnom izradom, dužan je izvoditelj na zahtjev investitora otkloniti o svom trošku. Ukoliko tako ne postupi, investitor ima pravo pozvati drugog izvođača da otkloni kvar i da mu isplati, a naplatu svojih troškova izvrši iz cjelokupne imovine prvog izvođača. </t>
  </si>
  <si>
    <t>Izvođač je odgovoran za kvalitetu montažnih radova i ugrađenog materijala kako su radovi izvođeni po odobrenom projektu, odnosno odobrenim izmjenama. Ukoliko izvođač izvrši izmjene bez suglasnosti projektanta i nadzornog tijela, snosi odgovornost za nepravilno funkcioniranje instalacija.</t>
  </si>
  <si>
    <t>Ugrađeni materijal i oprema moraju odgovarati tehničkim propisima i standardima. Ako nadzorno tijelo bude zahtjevalo ispitivanje nekog materijala izvođač će ga podnijeti na ispitivanje priznatoj ustanovi, a troškove, ukoliko materijal odgovara naplatiti će se kao višak rada, s time što ima pravo i na srazmjerno produženje roka. Ukoliko ne odgovara standardima, troškove snosi izvođač.</t>
  </si>
  <si>
    <t xml:space="preserve">Sav materijal i opremu, ukoliko nisu ispitani kod proizvođača ili o tome ne postoji dokumentacija, mora ispitati izvoditelj radova prije nego ih ugradi i o tome sastaviti dokumentaciju. Ispitivanje instalacije ima za cilj provjeru da li ugradnja opreme, uređaji i automatika odgovara projektiranim uvjetima za zimski i ljetni režim rada, ocjenu kvalitete montažnih radova, brzine i tlaka u karakterističnim točkama postrojenja. </t>
  </si>
  <si>
    <t>Kod provjere montažnih radova obratiti pozornost na slijedeće:</t>
  </si>
  <si>
    <t xml:space="preserve">- nepropusnost spojeva </t>
  </si>
  <si>
    <t>- razina buke</t>
  </si>
  <si>
    <t>- zaštita od korozije</t>
  </si>
  <si>
    <t>- pravilna montaža armature, ogrjevnih i rashladnih tijela, elemenata za ubacivanje i izvlačenje zraka, kanala i sl.</t>
  </si>
  <si>
    <t>Ako materijal ugrađuje Investitor, izvođač će ga pregledati, pa ako smatra da nije kvalitetan, odbiti će ugradnju pismenom konstatacijom u građevinskom dnevniku. Ako i pored toga od nadzornog tijela bude naređeno da ga ugradi on će postupiti prema naredbi, ali ne odgovara za njega, niti za posljedice. Također se izuzima garancija za ovaj dio instalacija.</t>
  </si>
  <si>
    <t>Za izvođenje radova izvođač mora postaviti stručno osoblje i rukovodstvo potrebnih kvalifikacija za izvođenje odnosnih radova.</t>
  </si>
  <si>
    <t>Izvođač montažnih radova dužan je sporazumno s nadzornim tijelom i izvođačem građevinskih radova izvršiti pravilnu organizaciju poslova, tako da međusobno ometanje bude najmanje. Ako stanje ili izvođenje građevinskih radova ometa neprikidnu montažu izvođač ima pravo prekinuti rad, produžiti rok i naplatiti troškove koje sporazumno utvrđuju s nadzornim tijelom u dnevniku.</t>
  </si>
  <si>
    <t>Izvođač je dužan na osnovu važećih zakonskih propisa s investitorom i ostalim izvođačima radova  riješiti pitanje higijensko-tehničke zaštite zaposlenog osoblja - smještaja materijala i osigurati čuvanje istoga,  također i osiguranja gradilišta.</t>
  </si>
  <si>
    <t>Ako izvođač nađe da će zbog eventualnih pogrešaka u projektu ili pogrešnih uputstava ili ostalih građevinskih činilaca, radovi biti izvedeni na štetu trajnosti i kvalitete instalacije, dužan je pismeno upozoriti Investitora, u protivnom će biti odgovoran. Za prijedloge poboljšanja i pojeftinjenja  ako  ih Investitor usvoji ima pravo na naknadnu nagradu koja se dogovorno određuje sporazumno učinjenoj uštedi.</t>
  </si>
  <si>
    <t>Ako izvođač utvrdi da montažni radovi neće biti završeni u ugovorenom roku, potrebno je najmanje 10 dana prije isteka roka obavijestiti investitora s obrazloženjem zakašnjenja.</t>
  </si>
  <si>
    <t>Za sve naknadne radove koji su potrebni, odnosno nisu predviđeni projektom, izvođač će dostaviti dopunsku ponudu Investitoru, preko nadzornog tijela ili direktno. Nakon usvajanja ovi radovi se mogu  izvesti.</t>
  </si>
  <si>
    <t>Na dopunsku ponudu izvođač mora dobiti odgovor u roku od 8 dana, u protivnom će se smatrati da nije usvojena.</t>
  </si>
  <si>
    <t>Izvođač je na gradilištu odgovoran jedino nadzornom tijelu, i s njima kontaktira preko građevinskog dnevnika, naređenje nadzornog tijela telefonom ili pismeno, obavezno je za izvođenje tek kada se upiše u dnevnik. Za sve zahtjeve izvođača, nadzorno tijelo mora donijeti rješenje u roku od 8 dana. U protivnom izvođač ima pravo na srazmjerno produženje roka i naknadu štete uslijed zastoja.</t>
  </si>
  <si>
    <t>Kao završetak montažnih radova je dan kada izvođač podnese nadzornom tijelu pismeno izvješće o završetku ugovorenih radova, a ovaj to pismeno potvrdi u građevinskom dnevniku, odnosno zatraži od Investitora pismeno da se imenuje komisija za tehnički pregled najmanje 15 dana prije završetka instalacije.</t>
  </si>
  <si>
    <t>Izvoditelj je dužan investitoru predati sheme i izrađena uputstva za rukovanje postrojenjem i uputstva za otklanjanje smetnji.</t>
  </si>
  <si>
    <t>0.29</t>
  </si>
  <si>
    <t>OPĆI TROŠKOVI</t>
  </si>
  <si>
    <t>U stavkama troškovnika nisu posebno specificirani slijedeći troškovi ali ih treba uključiti u ukupnu sumu:</t>
  </si>
  <si>
    <t>Ako nije drugačije dogovoreno u predračunsku sumu je uračunato:</t>
  </si>
  <si>
    <t>2. Obuka osoblja koje rukuje uređajima s objašnjenjem sistema i rada pojedinih dijelova, također i  davanje pismenog uputstva za rukovanje i održavanje.</t>
  </si>
  <si>
    <t>3. Naknada za montere, njihove pomoćnike, rukovodioce gradilišta i izradbu građevinske knjige.</t>
  </si>
  <si>
    <t>4. Transport cjelokupnog materijala i alata na gradilištu i s gradilišta, kao i namještanja skele te korištenje podiznih platformi.</t>
  </si>
  <si>
    <t>5. Troškovi povjerenstva i energije za probni rad ne ulaze u cijenu već ih snosi Investitor koji je dužan blagovremeno osigurati potrebno gorivo, električnu energiju, elektro instalacije, vodovodne instalacije (vodu i drugo u svezi s ovim).</t>
  </si>
  <si>
    <t xml:space="preserve">6. Svi pripremno završni radovi </t>
  </si>
  <si>
    <t xml:space="preserve"> - pregled dokumentacije objekta</t>
  </si>
  <si>
    <t xml:space="preserve"> - vođenje građevinskog dnevnika</t>
  </si>
  <si>
    <t>7.  Izrada projekta izvedenog stanja.</t>
  </si>
  <si>
    <t>SOLARNO GRIJANJE PTV-e</t>
  </si>
  <si>
    <t>Dobava kompleta potrebnog za instalaciju solarnog grijanja, koji se sastoji od sljedećih komponenata:</t>
  </si>
  <si>
    <t>- priključnog seta</t>
  </si>
  <si>
    <t>- uranjajuće čahure</t>
  </si>
  <si>
    <t>- brzog odzračnika sa T-komadom i vijčanom spojkom sa steznim prstenom NO15</t>
  </si>
  <si>
    <t>- odvajačem zraka</t>
  </si>
  <si>
    <t>Armatura za punjenje, komplet sa ručnom pumpom za punjenje solarnog medija</t>
  </si>
  <si>
    <t>Solarni medij za punjenje instalacije</t>
  </si>
  <si>
    <t>litara</t>
  </si>
  <si>
    <t>- dva termometra</t>
  </si>
  <si>
    <t>- tri kuglaste slavine sa nepovratnim zaklopkama</t>
  </si>
  <si>
    <t>- nepovratnog ventila</t>
  </si>
  <si>
    <t>- mjerača protoka</t>
  </si>
  <si>
    <t>- manometra</t>
  </si>
  <si>
    <t>Dobava bakrenih cijevi dimenzija:</t>
  </si>
  <si>
    <t>Osjetnik temperature spremnika PTV-a</t>
  </si>
  <si>
    <t>Sigurnosni graničnik temperature spremnika PTV-a</t>
  </si>
  <si>
    <t>Osjetnik temperature kolektora</t>
  </si>
  <si>
    <t>Dobava navojnih kuglastih ventila, u kompletu sa holenderima i brtvama, dimenzije:</t>
  </si>
  <si>
    <t xml:space="preserve">Materijal za zavarivanje cjevovoda, plin, kisik, žice za varenje, materijal za spajanje, brtvljenje, ovješenja, fitinzi za bakrene i pocinčane cijevi i sl. </t>
  </si>
  <si>
    <t>Set rezervnih dijelova (set malih dijelova koji se pri montaži mogu lako izgubiti)</t>
  </si>
  <si>
    <t>Montaža cjelokupne dobavljene opreme i instalacije do potpune pogonske i funkcionalne gotovosti sistema.</t>
  </si>
  <si>
    <t>Potrebni elektro radovi na spajanju regulacije i automatike, spoj sa elektro ormarom, uključujući potrebno ožičenje.</t>
  </si>
  <si>
    <t>Dobava reducir ventila na hladnoj vodi dimenzije NO40.</t>
  </si>
  <si>
    <t>U cijevi uračunati sva potreban ovješenja, materijal za izradu čvrstih točaka.</t>
  </si>
  <si>
    <t>Slavina za punjenje i pražnjenje iz mjedi komplet s kapom protiv kapanja.</t>
  </si>
  <si>
    <t>Dobava navojnih  kuglastih slavina za  hladnu vodu  NP16, dimenzije NO40.</t>
  </si>
  <si>
    <t>Dobava navojnog  nepovratnog ventila za hladnu  vodu dimenzije NO40.</t>
  </si>
  <si>
    <t>Dobava navojnog  hvatača nečistoća za hladnu  vodu dimenzije NO40.</t>
  </si>
  <si>
    <t>Pocinčane cijevi za razvod hladne vode, dimenzija:</t>
  </si>
  <si>
    <t>Angažiranje dizalice za podizanje solarnih panela i montažne konstrukcije istih na krov. Stavka obuhvaća osiguranje radijusa djelovanja dizalice.</t>
  </si>
  <si>
    <t>1.  Cjelokupna isporuka opreme, regulacija, puštanje u pogon od ovlaštenog servisera i potrebna ispitivanja na nepropusnost ugrađene instalacije grijanja, hlađenja i pripreme PTV-e te sva potrebna ispitivanja od ovlaštene firme za dokazivanje kvalitete ugrađene instalacije.</t>
  </si>
  <si>
    <t>Dobava manometra sa pripadajućom troputom slavinom R1/2". Manometri za mjerno područje 0 do 10 bara.</t>
  </si>
  <si>
    <t>Dobava programabilnog timera za upravljanje radom recirkulacijske crpke.</t>
  </si>
  <si>
    <t xml:space="preserve">Šlicanje unutarnjih zidova za polaganje cijevi odvoda kondenzata, te izrada prodora u zidovima. </t>
  </si>
  <si>
    <t>PVC kanalice za vođenje freonske instalacije unutar objekta sa svim pomoćnim priborom (vijci i tiple) slijedećih dimenzija:</t>
  </si>
  <si>
    <t>100x50 mm</t>
  </si>
  <si>
    <t>200x50 mm</t>
  </si>
  <si>
    <t>Cjevovod za razvod ogrjevne vode iz kotlovnice za prilagodbu novoj instalaciji, izrađen od čeličnih cijevi, uključivo fazonski komadi, slijedećih dimenzija:</t>
  </si>
  <si>
    <t>NO25</t>
  </si>
  <si>
    <t>Cjevovod za razvod PTV-e iz kotlovnice za prilagodbu novoj instalaciji, izrađen od pocinčanih cijevi, uključivo fazonski komadi, slijedećih dimenzija:</t>
  </si>
  <si>
    <t>NS</t>
  </si>
  <si>
    <t>Izolirane frigo bakrene cijevi  za izvedbu freonske instalacije parne i tekuće faze,cijevi moraju biti sa unutarnje strane odmašćene, prije ugradnje propuhane, u stavku cijevi uključen je sav pribor za spajanje, cijev-cijev te uređaj-cijev.</t>
  </si>
  <si>
    <t>Dobava mješajućeg ventila tople i hladne potrošne vode, dimenzije 5/4",  u kompletu sa termičkim pogonom.</t>
  </si>
  <si>
    <t>Dobava kamene vune klase negorivosti A1, s temperaturom taljenja iznad 1000°C, za oblaganje cjevovoda za razvod ogrjevne vode.</t>
  </si>
  <si>
    <r>
      <t>Dobava recirkulacijske crpke namijenjene za potrošnu toplu vodu</t>
    </r>
    <r>
      <rPr>
        <sz val="11"/>
        <rFont val="Calibri"/>
        <family val="2"/>
        <charset val="238"/>
      </rPr>
      <t>, u kompletu s kuglastim i nepovratnim ventilom NO32. Crpka slijedećih karakteristika:</t>
    </r>
  </si>
  <si>
    <t>- minimalni protok: 1,5 m3/h</t>
  </si>
  <si>
    <t>- minimalna dobava: 20 kPa</t>
  </si>
  <si>
    <t>- priključak: G 1 1/2</t>
  </si>
  <si>
    <r>
      <t>Dobava crpne stanice za krug kolektora,  renomiranog proizvođača opreme</t>
    </r>
    <r>
      <rPr>
        <sz val="11"/>
        <rFont val="Calibri"/>
        <family val="2"/>
        <charset val="238"/>
      </rPr>
      <t>. Stanica se sastoji od sljedećih komponenata:</t>
    </r>
  </si>
  <si>
    <t>- cirkulacijskom crpkom</t>
  </si>
  <si>
    <t>Jednakovrijedna oprema</t>
  </si>
  <si>
    <t>Vanjska jedinica tehničkih karakteristika:</t>
  </si>
  <si>
    <t>Max. broj unutarnjih jedinica: 5
Učin hlađenja: min. 9,1 kW
Učin grijanja: min. 10,6 kW</t>
  </si>
  <si>
    <t>SEER / Energetska klasa: min. 5,3 / A
SCOP / Energetska klasa: min. 3,8 / A
Razina buke: max. 53 dB</t>
  </si>
  <si>
    <t>Dimenzije (v/š/d): max. 915 x 900 x 320 mm
Težina: max. 70 kg</t>
  </si>
  <si>
    <t>Promjer priključka cijevi:
- plinska faza: 4 x ø9,52 (3/8) mm(")
                          1 x ø12,70 (1/2) mm(")
- tekuća faza: 5 x ø6,35 (1/4) mm(")</t>
  </si>
  <si>
    <t>Maksimalna duljina cijevi:
- ukupno: 80 m
- po unutarnjoj jedinici: 25 m</t>
  </si>
  <si>
    <t>Maksimalna visinska razlika:
- vanjska jedinica ispod unutarnje:  15 m
- vanjska jedinica iznad unutarnje:  10 m</t>
  </si>
  <si>
    <t>Napajanje: 230 V - 1 f - 50 Hz
Medij: R410A</t>
  </si>
  <si>
    <t>Područje rada:
- režim hlađenja: -10°C do +46°C
- režim grijanja: -15°C do +24°C</t>
  </si>
  <si>
    <t>1.1</t>
  </si>
  <si>
    <t>1.2</t>
  </si>
  <si>
    <t>Max. broj unutarnjih jedinica: 6
Učin hlađenja: 12,0 kW
Učin grijanja: 14,0 kW</t>
  </si>
  <si>
    <t>SEER / Energetska klasa: 3,32 / A
SCOP / Energetska klasa: 4,03 / A
Razina buke: 57 dB</t>
  </si>
  <si>
    <t>Dimenzije (v/š/d): 1070 x 900 x 320 mm
Težina: 88 kg</t>
  </si>
  <si>
    <t>Promjer priključka cijevi:
- plinska faza: 5 x ø9,52 (3/8) mm(")
                          1 x ø12,70 (1/2) mm(")
- tekuća faza: 6 x ø6,35 (1/4) mm(")</t>
  </si>
  <si>
    <t>Kao jednakovrijedna alternativa dopušteno je nuđenje 5 vanjskih jedinica koje po kapacitetu odgovaraju predviđenim unutarnjim jedinicama, te ostvaruju traženi kapacitet i učinkovitost.</t>
  </si>
  <si>
    <t>Kao jednakovrijedna alternativa dopušteno je nuđenje 6 vanjskih jedinica koje po kapacitetu odgovaraju predviđenim unutarnjim jedinicama, te ostvaruju traženi kapacitet i učinkovitost.</t>
  </si>
  <si>
    <t>1.3</t>
  </si>
  <si>
    <t xml:space="preserve">Dobava unutarnjih klima jedinica namijenjenih za montažu na zid, tehničkih karakteristika:                    </t>
  </si>
  <si>
    <t>Učin hlađenja: min. 1,82/2,00 kW
Učin grijanja: min. 2,12/2,33 kW</t>
  </si>
  <si>
    <t>Razina buke (v/n): max. 36 / 20 dB
Protok zraka: min. 672 m³/h</t>
  </si>
  <si>
    <t>Dimenzije (v/š/d): max. 295 x 798 x 257 mm
Težina: max. 12 kg</t>
  </si>
  <si>
    <t>Promjer priključka cijevi:
- plinska faza: ø9,52 (3/8) mm(")
- tekuća faza: ø6,35 (1/4) mm(")</t>
  </si>
  <si>
    <t>Infracrveni daljinski upravljač sa tjednim timerom</t>
  </si>
  <si>
    <t>1.4</t>
  </si>
  <si>
    <t>Učin hlađenja: min. 3,64 kW
Učin grijanja: min. 4,24 kW</t>
  </si>
  <si>
    <t>Razina buke (v/n): max. 39 / 29 dB
Protok zraka: min. 888 m³/h</t>
  </si>
  <si>
    <t>Promjer priključka cijevi:
- plinska faza: ø12,7 (1/2) mm(")
- tekuća faza: ø6,35 (1/4) mm(")</t>
  </si>
  <si>
    <t>1.5</t>
  </si>
  <si>
    <t>1.6</t>
  </si>
  <si>
    <t>1.7</t>
  </si>
  <si>
    <t>1.8</t>
  </si>
  <si>
    <t>komplet</t>
  </si>
  <si>
    <t>1.9</t>
  </si>
  <si>
    <t>1.10</t>
  </si>
  <si>
    <t>1.11</t>
  </si>
  <si>
    <t>1.12</t>
  </si>
  <si>
    <t>1.13</t>
  </si>
  <si>
    <t>1.14</t>
  </si>
  <si>
    <t>2.1</t>
  </si>
  <si>
    <t>2.2</t>
  </si>
  <si>
    <t>2.3</t>
  </si>
  <si>
    <t>2.4</t>
  </si>
  <si>
    <t>2.5</t>
  </si>
  <si>
    <t>2.6</t>
  </si>
  <si>
    <t>2.7</t>
  </si>
  <si>
    <t>2.8</t>
  </si>
  <si>
    <t>2.9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</si>
  <si>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</si>
  <si>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</si>
  <si>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</si>
  <si>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</si>
  <si>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</si>
  <si>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</si>
  <si>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</si>
  <si>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</si>
  <si>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</si>
  <si>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</si>
  <si>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</si>
  <si>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</si>
  <si>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</si>
  <si>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</si>
  <si>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</si>
  <si>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</si>
  <si>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</si>
  <si>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</si>
  <si>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</si>
  <si>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</si>
  <si>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</si>
  <si>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</si>
  <si>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</si>
  <si>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</si>
  <si>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</si>
  <si>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</si>
  <si>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</si>
  <si>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Uz spremnike isporučiti električne grijače tip, snage 6 kW.</t>
  </si>
  <si>
    <t>Univerzalno primjenjiv za montažu na krov i slobodnu montažu, može se montirati okomito i vodoravno.</t>
  </si>
  <si>
    <t>Trajno brtvljenje i visoka stabilnost zbog okolno svinutog aluminijskog okvira i izravno izvedenog zabrtvljenja ploče.</t>
  </si>
  <si>
    <t>Pričvrsni sustav mora biti jednostavan za montažu, opremljen statički ispitanim sastavnim dijelovima od plemenitog čelika i aluminija, otpornih na koroziju.</t>
  </si>
  <si>
    <t>Dobava sigurnosnog seta za krug solarnog grijanja koji se sastoji od:</t>
  </si>
  <si>
    <t>- kuglasti ventil NO20</t>
  </si>
  <si>
    <t>- ekspanzijska posuda 100l, sa servisnim ventilom</t>
  </si>
  <si>
    <t>- sigurnosni ventil NO25, tlak otvaranja 6 bara, za temperature 120 °C</t>
  </si>
  <si>
    <t>Nosiva potkonstrukcija solarnih panela s dokumentacijom proizvoda i sa sastavnim dijelovima za montažu na krov paviljona, što uključuje montažno postolje za postavljanje kolektora pod nagibom od 45° u odnosu na horizontalu, pričvrsne vijke, matice i tiple.</t>
  </si>
  <si>
    <t>Postolje proračunati na udare bure radi smještaja na krovu!</t>
  </si>
  <si>
    <t>Regulaciju odlikuje jednostavno rukovanje i visok komfor upravljanja.</t>
  </si>
  <si>
    <t>Regulacija se brine o tome da toplina dobivena sunčanim kolektorima što efektivnije koristi za ugrijavanje pitke vode.</t>
  </si>
  <si>
    <t>debljine izolacije minimalno 25 mm, za bakrene cijevi slijedećih dimenzija:</t>
  </si>
  <si>
    <r>
      <rPr>
        <sz val="11"/>
        <rFont val="Symbol"/>
        <family val="1"/>
        <charset val="2"/>
      </rPr>
      <t xml:space="preserve">Ć </t>
    </r>
    <r>
      <rPr>
        <sz val="11"/>
        <rFont val="Calibri"/>
        <family val="2"/>
        <charset val="238"/>
      </rPr>
      <t>28x1,5</t>
    </r>
  </si>
  <si>
    <r>
      <rPr>
        <sz val="11"/>
        <rFont val="Symbol"/>
        <family val="1"/>
        <charset val="2"/>
      </rPr>
      <t xml:space="preserve">Ć </t>
    </r>
    <r>
      <rPr>
        <sz val="11"/>
        <rFont val="Calibri"/>
        <family val="2"/>
        <charset val="238"/>
      </rPr>
      <t>35x1,5</t>
    </r>
  </si>
  <si>
    <t>Demontažni radovi na instalaciji radijatorskog grijanja unutar prostora paviljona što uključuje demontažu postojećih radijatora i pripadnog cijevnog razvoda.</t>
  </si>
  <si>
    <t>Sam cijevni razvod od kotlovnice do samih paviljona se zadržava i iskorištava za mogućnost grijanja PTV preko postojećeg generatora topline.</t>
  </si>
  <si>
    <t>Nakon demontaže radijatora i cijevnog razvoda iste zbrinuti na mjesto po traženju Investitora ili odvesti na deponij uz obavezno predočenje potvrde o dobivenoj naknadi. Svi potrebni građevinski radovi obuhvaćeni su u troškovniku građevinskih radova.</t>
  </si>
  <si>
    <t>NAPOMENA: PRIJE IZVOĐENJA INSTALACIJE USPOREDITI TROŠKOVNIK SA SPECIFIKACIJOM PROIZVOĐAČA.</t>
  </si>
  <si>
    <t>Postolja za montažu panela proračunati na pojačane udare vjetra!</t>
  </si>
  <si>
    <t>PDV</t>
  </si>
  <si>
    <t>UKUPNO S PDV-om</t>
  </si>
  <si>
    <t>Dobava tipskog sifonskog sklopa s nepovratnom kuglicom za sifoniranje odvodnje kondenzata prilikom spajanja na sifon lavaboa.</t>
  </si>
  <si>
    <r>
      <t>Dobava bivalentnih spremnika tople vode (donja spirala spaja se na solarne panele, gornja na kotlovnicu na lož-ulje), volumena 500 litara</t>
    </r>
    <r>
      <rPr>
        <sz val="11"/>
        <rFont val="Calibri"/>
        <family val="2"/>
        <charset val="238"/>
      </rPr>
      <t>, sa toplinskom izolacijom i uvojnim koljenima s uranjajućom čahurom, za montažu na pod prostorije.</t>
    </r>
  </si>
  <si>
    <r>
      <t>Dobava  solarnih kolektora, bruto površine 2,51 m</t>
    </r>
    <r>
      <rPr>
        <vertAlign val="superscript"/>
        <sz val="11"/>
        <rFont val="Calibri"/>
        <family val="2"/>
        <charset val="238"/>
      </rPr>
      <t>2</t>
    </r>
    <r>
      <rPr>
        <sz val="11"/>
        <rFont val="Calibri"/>
        <family val="2"/>
        <charset val="238"/>
      </rPr>
      <t>.</t>
    </r>
  </si>
  <si>
    <r>
      <t xml:space="preserve">Visoki stupanj učinkovitosti </t>
    </r>
    <r>
      <rPr>
        <sz val="11"/>
        <rFont val="Calibri"/>
        <family val="2"/>
        <scheme val="minor"/>
      </rPr>
      <t>(&gt;70%)</t>
    </r>
    <r>
      <rPr>
        <sz val="11"/>
        <rFont val="Calibri"/>
        <family val="2"/>
        <charset val="238"/>
        <scheme val="minor"/>
      </rPr>
      <t xml:space="preserve"> zbog selektivno prevučenog apsorbera i poklopca od solarnog stakla postojanog na tuču.</t>
    </r>
  </si>
  <si>
    <r>
      <t>Dobava solarne regulacije za regulaciju rada kolektora,</t>
    </r>
    <r>
      <rPr>
        <sz val="11"/>
        <rFont val="Calibri"/>
        <family val="2"/>
        <scheme val="minor"/>
      </rPr>
      <t xml:space="preserve"> odgovarajućeg modela za ponuđene kolektore.</t>
    </r>
  </si>
  <si>
    <r>
      <t>Dobava membranske ekspanzijske posude</t>
    </r>
    <r>
      <rPr>
        <sz val="11"/>
        <rFont val="Calibri"/>
        <family val="2"/>
        <charset val="238"/>
      </rPr>
      <t xml:space="preserve"> maksimalnog radnog tlaka do 10 bara, volumena 50 litara i sigurnosnog ventila 6 bara, NO32.</t>
    </r>
  </si>
  <si>
    <r>
      <t>Ventili za hidrauličko balansiranje sa proporcionalnom karakteristikom prigušenja, sa mjernim priključcima na instrument za balansiranje, opremljeni ručnim kolom sa dvostrukom digitalnom skalom za (pred)podešavanje, sa priključkom za ispuštanje vode. Stavka uključuje obvezno jednokratno balansiranje instalacije na ventilima sa mjernim instrumentom</t>
    </r>
    <r>
      <rPr>
        <sz val="11"/>
        <rFont val="Calibri"/>
        <family val="2"/>
        <charset val="238"/>
      </rPr>
      <t>, i izradu zapisnika o postignutim protocima. Ventili su navojni, dimenzija:</t>
    </r>
  </si>
  <si>
    <r>
      <rPr>
        <sz val="11"/>
        <rFont val="Calibri"/>
        <family val="2"/>
        <charset val="238"/>
      </rPr>
      <t>Ø28x1,5</t>
    </r>
  </si>
  <si>
    <r>
      <rPr>
        <sz val="11"/>
        <rFont val="Calibri"/>
        <family val="2"/>
        <charset val="238"/>
      </rPr>
      <t>Ø35x1,5</t>
    </r>
  </si>
  <si>
    <t>Dobava izolacije sa paronepropusnom branom (koeficijent difuzije vodene pare minimalno 7000), izvedbe sa zaštitom od UV zraka, specijalno namijenjenih za oblaganje cijevi solarnih instalacija,</t>
  </si>
  <si>
    <t>Sprečka 12, Zagreb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</si>
</sst>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5">
    <font>
      <sz val="10"/>
      <name val="Arial"/>
      <charset val="238"/>
    </font>
    <font>
      <i/>
      <sz val="10"/>
      <name val="Arial"/>
      <family val="2"/>
      <charset val="238"/>
    </font>
    <font>
      <b/>
      <i/>
      <sz val="10"/>
      <name val="Arial"/>
      <family val="2"/>
      <charset val="238"/>
    </font>
    <font>
      <b/>
      <sz val="12"/>
      <name val="Arial"/>
      <family val="2"/>
      <charset val="238"/>
    </font>
    <font>
      <sz val="12"/>
      <name val="Arial"/>
      <family val="2"/>
      <charset val="238"/>
    </font>
    <font>
      <sz val="11"/>
      <name val="Symbol"/>
      <family val="1"/>
      <charset val="2"/>
    </font>
    <font>
      <sz val="11"/>
      <name val="Arial"/>
      <family val="2"/>
      <charset val="238"/>
    </font>
    <font>
      <sz val="10"/>
      <name val="Helv"/>
    </font>
    <font>
      <sz val="10"/>
      <name val="Arial"/>
      <family val="2"/>
      <charset val="238"/>
    </font>
    <font>
      <sz val="12"/>
      <name val="Calibri"/>
      <family val="2"/>
      <charset val="238"/>
    </font>
    <font>
      <sz val="11"/>
      <name val="Calibri"/>
      <family val="2"/>
      <charset val="238"/>
    </font>
    <font>
      <sz val="11"/>
      <name val="Arial"/>
      <family val="2"/>
    </font>
    <font>
      <sz val="11"/>
      <name val="Arial"/>
      <family val="1"/>
    </font>
    <font>
      <b/>
      <i/>
      <sz val="11"/>
      <name val="Calibri"/>
      <family val="2"/>
      <charset val="238"/>
    </font>
    <font>
      <i/>
      <sz val="11"/>
      <name val="Calibri"/>
      <family val="2"/>
      <charset val="238"/>
    </font>
    <font>
      <b/>
      <sz val="12"/>
      <name val="Calibri"/>
      <family val="2"/>
      <charset val="238"/>
    </font>
    <font>
      <sz val="11"/>
      <name val="Calibri"/>
      <family val="1"/>
      <charset val="2"/>
    </font>
    <font>
      <vertAlign val="superscript"/>
      <sz val="11"/>
      <name val="Calibri"/>
      <family val="2"/>
      <charset val="238"/>
    </font>
    <font>
      <sz val="11"/>
      <color theme="1"/>
      <name val="Calibri"/>
      <family val="2"/>
      <charset val="238"/>
      <scheme val="minor"/>
    </font>
    <font>
      <sz val="11"/>
      <color rgb="FFFF0000"/>
      <name val="Calibri"/>
      <family val="2"/>
      <charset val="238"/>
      <scheme val="minor"/>
    </font>
    <font>
      <sz val="12"/>
      <name val="Calibri"/>
      <family val="2"/>
      <charset val="238"/>
      <scheme val="minor"/>
    </font>
    <font>
      <b/>
      <sz val="12"/>
      <name val="Calibri"/>
      <family val="2"/>
      <charset val="238"/>
      <scheme val="minor"/>
    </font>
    <font>
      <b/>
      <sz val="10"/>
      <name val="Calibri"/>
      <family val="2"/>
      <charset val="238"/>
      <scheme val="minor"/>
    </font>
    <font>
      <sz val="8"/>
      <name val="Calibri"/>
      <family val="2"/>
      <charset val="238"/>
      <scheme val="minor"/>
    </font>
    <font>
      <b/>
      <i/>
      <sz val="10"/>
      <name val="Calibri"/>
      <family val="2"/>
      <charset val="238"/>
      <scheme val="minor"/>
    </font>
    <font>
      <b/>
      <i/>
      <sz val="12"/>
      <name val="Calibri"/>
      <family val="2"/>
      <charset val="238"/>
      <scheme val="minor"/>
    </font>
    <font>
      <sz val="11"/>
      <name val="Calibri"/>
      <family val="2"/>
      <charset val="238"/>
      <scheme val="minor"/>
    </font>
    <font>
      <b/>
      <i/>
      <sz val="11"/>
      <name val="Calibri"/>
      <family val="2"/>
      <charset val="238"/>
      <scheme val="minor"/>
    </font>
    <font>
      <sz val="10"/>
      <name val="Calibri"/>
      <family val="2"/>
      <charset val="238"/>
      <scheme val="minor"/>
    </font>
    <font>
      <sz val="12"/>
      <color rgb="FFFF0000"/>
      <name val="Calibri"/>
      <family val="2"/>
      <charset val="238"/>
      <scheme val="minor"/>
    </font>
    <font>
      <sz val="11"/>
      <color indexed="10"/>
      <name val="Calibri"/>
      <family val="2"/>
      <charset val="238"/>
      <scheme val="minor"/>
    </font>
    <font>
      <i/>
      <sz val="10"/>
      <name val="Calibri"/>
      <family val="2"/>
      <charset val="238"/>
      <scheme val="minor"/>
    </font>
    <font>
      <b/>
      <sz val="11"/>
      <name val="Calibri"/>
      <family val="2"/>
      <charset val="238"/>
      <scheme val="minor"/>
    </font>
    <font>
      <i/>
      <sz val="11"/>
      <name val="Calibri"/>
      <family val="2"/>
      <charset val="238"/>
      <scheme val="minor"/>
    </font>
    <font>
      <sz val="11"/>
      <name val="Calibri"/>
      <family val="2"/>
      <scheme val="minor"/>
    </font>
  </fonts>
  <fills count="11">
    <fill>
      <patternFill patternType="none"/>
    </fill>
    <fill>
      <patternFill patternType="gray125"/>
    </fill>
    <fill>
      <patternFill patternType="gray0625">
        <fgColor indexed="9"/>
        <bgColor indexed="27"/>
      </patternFill>
    </fill>
    <fill>
      <patternFill patternType="solid">
        <fgColor indexed="9"/>
        <bgColor indexed="9"/>
      </patternFill>
    </fill>
    <fill>
      <patternFill patternType="mediumGray">
        <fgColor indexed="9"/>
        <bgColor indexed="41"/>
      </patternFill>
    </fill>
    <fill>
      <patternFill patternType="solid">
        <fgColor indexed="27"/>
        <bgColor indexed="64"/>
      </patternFill>
    </fill>
    <fill>
      <patternFill patternType="solid">
        <fgColor indexed="65"/>
        <bgColor indexed="64"/>
      </patternFill>
    </fill>
    <fill>
      <patternFill patternType="gray0625">
        <fgColor indexed="9"/>
      </patternFill>
    </fill>
    <fill>
      <patternFill patternType="solid">
        <fgColor indexed="41"/>
        <bgColor indexed="64"/>
      </patternFill>
    </fill>
    <fill>
      <patternFill patternType="solid">
        <fgColor indexed="27"/>
        <bgColor indexed="9"/>
      </patternFill>
    </fill>
    <fill>
      <patternFill patternType="solid">
        <fgColor rgb="FFFFFFCC"/>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xf numFmtId="43" fontId="8" fillId="0" borderId="0" applyFont="0" applyFill="0" applyBorder="0" applyAlignment="0" applyProtection="0"/>
    <xf numFmtId="0" fontId="8" fillId="0" borderId="0">
      <alignment horizontal="justify" vertical="top" wrapText="1"/>
    </xf>
    <xf numFmtId="0" fontId="8" fillId="0" borderId="0"/>
    <xf numFmtId="0" fontId="8" fillId="0" borderId="0"/>
    <xf numFmtId="0" fontId="8" fillId="0" borderId="0"/>
    <xf numFmtId="0" fontId="8" fillId="0" borderId="0"/>
    <xf numFmtId="0" fontId="18" fillId="0" borderId="0"/>
    <xf numFmtId="0" fontId="8" fillId="0" borderId="0"/>
    <xf numFmtId="0" fontId="18" fillId="0" borderId="0"/>
    <xf numFmtId="0" fontId="12" fillId="0" borderId="0"/>
    <xf numFmtId="0" fontId="8" fillId="0" borderId="0"/>
    <xf numFmtId="0" fontId="8" fillId="0" borderId="0"/>
    <xf numFmtId="0" fontId="8" fillId="0" borderId="0"/>
    <xf numFmtId="0" fontId="8" fillId="0" borderId="0"/>
    <xf numFmtId="0" fontId="8" fillId="0" borderId="0"/>
    <xf numFmtId="0" fontId="18" fillId="10" borderId="18" applyNumberFormat="0" applyFont="0" applyAlignment="0" applyProtection="0"/>
    <xf numFmtId="0" fontId="6" fillId="0" borderId="0"/>
    <xf numFmtId="0" fontId="7" fillId="0" borderId="0"/>
  </cellStyleXfs>
  <cellXfs count="441">
    <xf numFmtId="0" fontId="0" fillId="0" borderId="0" xfId="0"/>
    <xf numFmtId="0" fontId="1"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Border="1"/>
    <xf numFmtId="0" fontId="4" fillId="0" borderId="0" xfId="0" applyFont="1"/>
    <xf numFmtId="0" fontId="20" fillId="0" borderId="1" xfId="0" applyFont="1" applyBorder="1"/>
    <xf numFmtId="0" fontId="20" fillId="0" borderId="2" xfId="0" applyFont="1" applyBorder="1"/>
    <xf numFmtId="0" fontId="20" fillId="0" borderId="3" xfId="0" applyFont="1" applyBorder="1"/>
    <xf numFmtId="0" fontId="20" fillId="0" borderId="4" xfId="0" applyFont="1" applyBorder="1"/>
    <xf numFmtId="0" fontId="20" fillId="0" borderId="5" xfId="0" applyFont="1" applyBorder="1"/>
    <xf numFmtId="0" fontId="20" fillId="0" borderId="0" xfId="0" applyFont="1" applyBorder="1"/>
    <xf numFmtId="0" fontId="20" fillId="2" borderId="6" xfId="0" applyFont="1" applyFill="1" applyBorder="1"/>
    <xf numFmtId="0" fontId="20" fillId="3" borderId="0" xfId="0" applyFont="1" applyFill="1" applyBorder="1"/>
    <xf numFmtId="0" fontId="20" fillId="2" borderId="7" xfId="0" applyFont="1" applyFill="1" applyBorder="1"/>
    <xf numFmtId="0" fontId="21" fillId="2" borderId="7" xfId="0" applyFont="1" applyFill="1" applyBorder="1" applyAlignment="1"/>
    <xf numFmtId="0" fontId="22" fillId="2" borderId="6" xfId="0" applyFont="1" applyFill="1" applyBorder="1" applyAlignment="1"/>
    <xf numFmtId="0" fontId="20" fillId="4" borderId="1" xfId="0" applyFont="1" applyFill="1" applyBorder="1"/>
    <xf numFmtId="0" fontId="20" fillId="4" borderId="3" xfId="0" applyFont="1" applyFill="1" applyBorder="1"/>
    <xf numFmtId="0" fontId="21" fillId="5" borderId="1" xfId="0" applyFont="1" applyFill="1" applyBorder="1" applyAlignment="1"/>
    <xf numFmtId="0" fontId="22" fillId="5" borderId="2" xfId="0" applyFont="1" applyFill="1" applyBorder="1" applyAlignment="1"/>
    <xf numFmtId="0" fontId="20" fillId="5" borderId="2" xfId="0" applyFont="1" applyFill="1" applyBorder="1"/>
    <xf numFmtId="0" fontId="21" fillId="5" borderId="4" xfId="0" applyFont="1" applyFill="1" applyBorder="1" applyAlignment="1"/>
    <xf numFmtId="0" fontId="22" fillId="5" borderId="0" xfId="0" applyFont="1" applyFill="1" applyBorder="1" applyAlignment="1"/>
    <xf numFmtId="0" fontId="23" fillId="5" borderId="0" xfId="0" applyFont="1" applyFill="1" applyBorder="1"/>
    <xf numFmtId="0" fontId="20" fillId="5" borderId="0" xfId="0" applyFont="1" applyFill="1" applyBorder="1"/>
    <xf numFmtId="0" fontId="20" fillId="5" borderId="5" xfId="0" applyFont="1" applyFill="1" applyBorder="1"/>
    <xf numFmtId="0" fontId="20" fillId="5" borderId="7" xfId="0" applyFont="1" applyFill="1" applyBorder="1"/>
    <xf numFmtId="0" fontId="20" fillId="5" borderId="6" xfId="0" applyFont="1" applyFill="1" applyBorder="1"/>
    <xf numFmtId="0" fontId="20" fillId="5" borderId="8" xfId="0" applyFont="1" applyFill="1" applyBorder="1"/>
    <xf numFmtId="0" fontId="20" fillId="6" borderId="0" xfId="0" applyFont="1" applyFill="1" applyBorder="1"/>
    <xf numFmtId="0" fontId="21" fillId="5" borderId="4" xfId="0" applyFont="1" applyFill="1" applyBorder="1" applyAlignment="1">
      <alignment horizontal="left"/>
    </xf>
    <xf numFmtId="0" fontId="22" fillId="5" borderId="0" xfId="0" applyFont="1" applyFill="1" applyBorder="1" applyAlignment="1">
      <alignment horizontal="left"/>
    </xf>
    <xf numFmtId="0" fontId="22" fillId="5" borderId="0" xfId="0" applyFont="1" applyFill="1" applyAlignment="1">
      <alignment horizontal="left"/>
    </xf>
    <xf numFmtId="0" fontId="22" fillId="5" borderId="5" xfId="0" applyFont="1" applyFill="1" applyBorder="1" applyAlignment="1">
      <alignment horizontal="left"/>
    </xf>
    <xf numFmtId="0" fontId="21" fillId="5" borderId="7" xfId="0" applyFont="1" applyFill="1" applyBorder="1" applyAlignment="1">
      <alignment horizontal="left"/>
    </xf>
    <xf numFmtId="0" fontId="22" fillId="5" borderId="6" xfId="0" applyFont="1" applyFill="1" applyBorder="1" applyAlignment="1">
      <alignment horizontal="left"/>
    </xf>
    <xf numFmtId="0" fontId="20" fillId="5" borderId="6" xfId="0" applyFont="1" applyFill="1" applyBorder="1" applyAlignment="1">
      <alignment horizontal="left"/>
    </xf>
    <xf numFmtId="0" fontId="22" fillId="5" borderId="8" xfId="0" applyFont="1" applyFill="1" applyBorder="1" applyAlignment="1">
      <alignment horizontal="left"/>
    </xf>
    <xf numFmtId="0" fontId="20" fillId="7" borderId="9" xfId="0" applyFont="1" applyFill="1" applyBorder="1"/>
    <xf numFmtId="0" fontId="21" fillId="5" borderId="10" xfId="0" applyFont="1" applyFill="1" applyBorder="1"/>
    <xf numFmtId="17" fontId="21" fillId="5" borderId="9" xfId="0" applyNumberFormat="1" applyFont="1" applyFill="1" applyBorder="1"/>
    <xf numFmtId="0" fontId="20" fillId="5" borderId="9" xfId="0" applyFont="1" applyFill="1" applyBorder="1"/>
    <xf numFmtId="0" fontId="20" fillId="5" borderId="11" xfId="0" applyFont="1" applyFill="1" applyBorder="1"/>
    <xf numFmtId="0" fontId="23" fillId="5" borderId="1" xfId="0" applyFont="1" applyFill="1" applyBorder="1"/>
    <xf numFmtId="0" fontId="23" fillId="5" borderId="2" xfId="0" applyFont="1" applyFill="1" applyBorder="1"/>
    <xf numFmtId="0" fontId="23" fillId="5" borderId="3" xfId="0" applyFont="1" applyFill="1" applyBorder="1"/>
    <xf numFmtId="0" fontId="23" fillId="5" borderId="7" xfId="0" applyFont="1" applyFill="1" applyBorder="1"/>
    <xf numFmtId="0" fontId="23" fillId="5" borderId="6" xfId="0" applyFont="1" applyFill="1" applyBorder="1"/>
    <xf numFmtId="0" fontId="23" fillId="5" borderId="8" xfId="0" applyFont="1" applyFill="1" applyBorder="1"/>
    <xf numFmtId="0" fontId="20" fillId="0" borderId="7" xfId="0" applyFont="1" applyBorder="1"/>
    <xf numFmtId="0" fontId="20" fillId="0" borderId="6" xfId="0" applyFont="1" applyBorder="1"/>
    <xf numFmtId="0" fontId="20" fillId="0" borderId="8" xfId="0" applyFont="1" applyBorder="1"/>
    <xf numFmtId="0" fontId="22" fillId="5" borderId="0" xfId="0" applyFont="1" applyFill="1" applyAlignment="1"/>
    <xf numFmtId="0" fontId="22" fillId="5" borderId="5" xfId="0" applyFont="1" applyFill="1" applyBorder="1" applyAlignment="1"/>
    <xf numFmtId="0" fontId="20" fillId="5" borderId="0" xfId="0" applyFont="1" applyFill="1" applyBorder="1" applyAlignment="1"/>
    <xf numFmtId="4" fontId="24" fillId="0" borderId="0" xfId="0" applyNumberFormat="1" applyFont="1" applyAlignment="1">
      <alignment horizontal="center" vertical="center" wrapText="1"/>
    </xf>
    <xf numFmtId="0" fontId="21" fillId="8" borderId="12" xfId="0" applyFont="1" applyFill="1" applyBorder="1" applyAlignment="1">
      <alignment horizontal="center" vertical="center" wrapText="1"/>
    </xf>
    <xf numFmtId="0" fontId="21" fillId="0" borderId="0" xfId="0" applyFont="1" applyBorder="1" applyAlignment="1">
      <alignment horizontal="center" vertical="center" wrapText="1"/>
    </xf>
    <xf numFmtId="4" fontId="25" fillId="0" borderId="0" xfId="0" applyNumberFormat="1" applyFont="1" applyBorder="1" applyAlignment="1">
      <alignment horizontal="center" vertical="center" wrapText="1"/>
    </xf>
    <xf numFmtId="4" fontId="27" fillId="0" borderId="13" xfId="0" applyNumberFormat="1" applyFont="1" applyFill="1" applyBorder="1" applyAlignment="1">
      <alignment horizontal="center" vertical="center" wrapText="1"/>
    </xf>
    <xf numFmtId="0" fontId="26" fillId="0" borderId="13" xfId="4" applyFont="1" applyBorder="1" applyAlignment="1">
      <alignment horizontal="justify" vertical="center" wrapText="1"/>
    </xf>
    <xf numFmtId="0" fontId="26" fillId="0" borderId="13" xfId="4" applyFont="1" applyBorder="1" applyAlignment="1">
      <alignment horizontal="left" vertical="center" wrapText="1"/>
    </xf>
    <xf numFmtId="0" fontId="26" fillId="0" borderId="13" xfId="0" applyFont="1" applyFill="1" applyBorder="1" applyAlignment="1">
      <alignment horizontal="justify" vertical="center" wrapText="1"/>
    </xf>
    <xf numFmtId="0" fontId="28" fillId="0" borderId="0" xfId="0" applyFont="1" applyAlignment="1">
      <alignment horizontal="left" vertical="center" wrapText="1"/>
    </xf>
    <xf numFmtId="0" fontId="21" fillId="8" borderId="14" xfId="0" applyNumberFormat="1" applyFont="1" applyFill="1" applyBorder="1" applyAlignment="1">
      <alignment horizontal="center" vertical="center" wrapText="1"/>
    </xf>
    <xf numFmtId="4" fontId="25" fillId="8" borderId="15" xfId="0" applyNumberFormat="1" applyFont="1" applyFill="1" applyBorder="1" applyAlignment="1">
      <alignment horizontal="center" vertical="center" wrapText="1"/>
    </xf>
    <xf numFmtId="0" fontId="21" fillId="0" borderId="0" xfId="0" applyNumberFormat="1" applyFont="1" applyBorder="1" applyAlignment="1">
      <alignment horizontal="center" vertical="center" wrapText="1"/>
    </xf>
    <xf numFmtId="49" fontId="21" fillId="0" borderId="15" xfId="0" applyNumberFormat="1" applyFont="1" applyFill="1" applyBorder="1" applyAlignment="1">
      <alignment horizontal="center" vertical="center" wrapText="1"/>
    </xf>
    <xf numFmtId="0" fontId="21" fillId="0" borderId="12" xfId="0" applyFont="1" applyFill="1" applyBorder="1" applyAlignment="1">
      <alignment horizontal="left" vertical="center" wrapText="1"/>
    </xf>
    <xf numFmtId="4" fontId="21" fillId="0" borderId="15" xfId="0" applyNumberFormat="1" applyFont="1" applyFill="1" applyBorder="1" applyAlignment="1">
      <alignment horizontal="center" vertical="center" wrapText="1"/>
    </xf>
    <xf numFmtId="49" fontId="21" fillId="0" borderId="0" xfId="0" applyNumberFormat="1" applyFont="1" applyFill="1" applyBorder="1" applyAlignment="1">
      <alignment horizontal="center" vertical="center" wrapText="1"/>
    </xf>
    <xf numFmtId="0" fontId="21" fillId="0" borderId="0" xfId="0" applyFont="1" applyFill="1" applyBorder="1" applyAlignment="1">
      <alignment horizontal="center" vertical="center" wrapText="1"/>
    </xf>
    <xf numFmtId="4" fontId="21" fillId="0" borderId="0" xfId="0" applyNumberFormat="1" applyFont="1" applyFill="1" applyBorder="1" applyAlignment="1">
      <alignment horizontal="center" vertical="center" wrapText="1"/>
    </xf>
    <xf numFmtId="0" fontId="21" fillId="0" borderId="0" xfId="0" applyNumberFormat="1" applyFont="1" applyFill="1" applyBorder="1" applyAlignment="1">
      <alignment horizontal="center" vertical="center" wrapText="1"/>
    </xf>
    <xf numFmtId="0" fontId="21" fillId="8" borderId="14" xfId="0" applyFont="1" applyFill="1" applyBorder="1" applyAlignment="1">
      <alignment horizontal="center" vertical="center" wrapText="1"/>
    </xf>
    <xf numFmtId="4" fontId="21"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8" fillId="0" borderId="0" xfId="4"/>
    <xf numFmtId="0" fontId="8" fillId="0" borderId="0" xfId="14"/>
    <xf numFmtId="0" fontId="7" fillId="0" borderId="0" xfId="18"/>
    <xf numFmtId="0" fontId="29" fillId="3" borderId="0" xfId="0" applyFont="1" applyFill="1" applyBorder="1"/>
    <xf numFmtId="0" fontId="21" fillId="5" borderId="9" xfId="0" applyFont="1" applyFill="1" applyBorder="1" applyAlignment="1">
      <alignment horizontal="right"/>
    </xf>
    <xf numFmtId="0" fontId="26" fillId="0" borderId="13" xfId="4" applyNumberFormat="1" applyFont="1" applyBorder="1" applyAlignment="1">
      <alignment horizontal="center" vertical="center" wrapText="1"/>
    </xf>
    <xf numFmtId="0" fontId="8" fillId="0" borderId="0" xfId="4" applyAlignment="1">
      <alignment horizontal="center" vertical="center" wrapText="1"/>
    </xf>
    <xf numFmtId="0" fontId="11" fillId="0" borderId="0" xfId="4" applyFont="1" applyBorder="1" applyAlignment="1">
      <alignment horizontal="left" vertical="center" wrapText="1"/>
    </xf>
    <xf numFmtId="0" fontId="26" fillId="0" borderId="13" xfId="4" applyFont="1" applyFill="1" applyBorder="1" applyAlignment="1">
      <alignment horizontal="justify" vertical="center" wrapText="1"/>
    </xf>
    <xf numFmtId="4" fontId="26" fillId="0" borderId="16" xfId="5" applyNumberFormat="1" applyFont="1" applyBorder="1" applyAlignment="1">
      <alignment horizontal="center" vertical="center" wrapText="1"/>
    </xf>
    <xf numFmtId="49" fontId="31" fillId="0" borderId="13" xfId="13" applyNumberFormat="1" applyFont="1" applyBorder="1" applyAlignment="1">
      <alignment horizontal="center" vertical="center" wrapText="1"/>
    </xf>
    <xf numFmtId="0" fontId="31" fillId="0" borderId="13" xfId="13" applyFont="1" applyBorder="1" applyAlignment="1">
      <alignment horizontal="center" vertical="center" wrapText="1"/>
    </xf>
    <xf numFmtId="4" fontId="31" fillId="0" borderId="13" xfId="13" applyNumberFormat="1" applyFont="1" applyBorder="1" applyAlignment="1">
      <alignment horizontal="center" vertical="center" wrapText="1"/>
    </xf>
    <xf numFmtId="0" fontId="1" fillId="0" borderId="0" xfId="13" applyFont="1" applyAlignment="1" applyProtection="1">
      <alignment horizontal="center" vertical="center" wrapText="1"/>
      <protection hidden="1"/>
    </xf>
    <xf numFmtId="0" fontId="1" fillId="0" borderId="0" xfId="13" applyFont="1" applyAlignment="1">
      <alignment horizontal="center" vertical="center" wrapText="1"/>
    </xf>
    <xf numFmtId="49" fontId="1" fillId="0" borderId="16" xfId="13" applyNumberFormat="1" applyFont="1" applyBorder="1" applyAlignment="1">
      <alignment horizontal="center" vertical="center" wrapText="1"/>
    </xf>
    <xf numFmtId="0" fontId="1" fillId="0" borderId="16" xfId="13" applyFont="1" applyBorder="1" applyAlignment="1">
      <alignment horizontal="center" vertical="center" wrapText="1"/>
    </xf>
    <xf numFmtId="4" fontId="1" fillId="0" borderId="16" xfId="13" applyNumberFormat="1" applyFont="1" applyBorder="1" applyAlignment="1">
      <alignment horizontal="center" vertical="center" wrapText="1"/>
    </xf>
    <xf numFmtId="49" fontId="21" fillId="8" borderId="14" xfId="13" applyNumberFormat="1" applyFont="1" applyFill="1" applyBorder="1" applyAlignment="1">
      <alignment horizontal="center" vertical="center" wrapText="1"/>
    </xf>
    <xf numFmtId="0" fontId="21" fillId="8" borderId="12" xfId="13" applyFont="1" applyFill="1" applyBorder="1" applyAlignment="1">
      <alignment horizontal="center" vertical="center" wrapText="1"/>
    </xf>
    <xf numFmtId="0" fontId="3" fillId="8" borderId="12" xfId="13" applyFont="1" applyFill="1" applyBorder="1" applyAlignment="1">
      <alignment horizontal="center" vertical="center" wrapText="1"/>
    </xf>
    <xf numFmtId="4" fontId="3" fillId="8" borderId="12" xfId="13" applyNumberFormat="1" applyFont="1" applyFill="1" applyBorder="1" applyAlignment="1">
      <alignment horizontal="center" vertical="center" wrapText="1"/>
    </xf>
    <xf numFmtId="49" fontId="21" fillId="8" borderId="17" xfId="13" applyNumberFormat="1" applyFont="1" applyFill="1" applyBorder="1" applyAlignment="1">
      <alignment horizontal="center" vertical="center" wrapText="1"/>
    </xf>
    <xf numFmtId="0" fontId="3" fillId="0" borderId="0" xfId="13" applyFont="1" applyAlignment="1" applyProtection="1">
      <alignment horizontal="center" vertical="center" wrapText="1"/>
      <protection hidden="1"/>
    </xf>
    <xf numFmtId="0" fontId="3" fillId="0" borderId="0" xfId="13" applyFont="1" applyAlignment="1">
      <alignment horizontal="center" vertical="center" wrapText="1"/>
    </xf>
    <xf numFmtId="49" fontId="3" fillId="0" borderId="0" xfId="13" applyNumberFormat="1" applyFont="1" applyBorder="1" applyAlignment="1">
      <alignment horizontal="center" vertical="center" wrapText="1"/>
    </xf>
    <xf numFmtId="0" fontId="3" fillId="0" borderId="0" xfId="13" applyFont="1" applyBorder="1" applyAlignment="1">
      <alignment horizontal="center" vertical="center" wrapText="1"/>
    </xf>
    <xf numFmtId="4" fontId="3" fillId="0" borderId="0" xfId="13" applyNumberFormat="1" applyFont="1" applyBorder="1" applyAlignment="1">
      <alignment horizontal="center" vertical="center" wrapText="1"/>
    </xf>
    <xf numFmtId="0" fontId="26" fillId="0" borderId="13" xfId="13" applyNumberFormat="1" applyFont="1" applyBorder="1" applyAlignment="1">
      <alignment horizontal="center" vertical="center" wrapText="1"/>
    </xf>
    <xf numFmtId="0" fontId="26" fillId="0" borderId="13" xfId="11" applyFont="1" applyBorder="1" applyAlignment="1">
      <alignment horizontal="justify" vertical="center"/>
    </xf>
    <xf numFmtId="0" fontId="26" fillId="0" borderId="13" xfId="13" applyFont="1" applyBorder="1" applyAlignment="1">
      <alignment horizontal="center" vertical="center" wrapText="1"/>
    </xf>
    <xf numFmtId="4" fontId="26" fillId="0" borderId="13" xfId="13" applyNumberFormat="1" applyFont="1" applyBorder="1" applyAlignment="1">
      <alignment horizontal="center" vertical="center" wrapText="1"/>
    </xf>
    <xf numFmtId="0" fontId="8" fillId="0" borderId="0" xfId="13" applyAlignment="1" applyProtection="1">
      <alignment horizontal="center" vertical="center" wrapText="1"/>
      <protection hidden="1"/>
    </xf>
    <xf numFmtId="0" fontId="8" fillId="0" borderId="0" xfId="13" applyAlignment="1">
      <alignment horizontal="center" vertical="center" wrapText="1"/>
    </xf>
    <xf numFmtId="0" fontId="8" fillId="0" borderId="0" xfId="15" applyAlignment="1">
      <alignment horizontal="center" vertical="center" wrapText="1"/>
    </xf>
    <xf numFmtId="0" fontId="26" fillId="0" borderId="13" xfId="11" applyFont="1" applyBorder="1" applyAlignment="1">
      <alignment horizontal="justify" vertical="center" wrapText="1"/>
    </xf>
    <xf numFmtId="49" fontId="26" fillId="0" borderId="13" xfId="11" applyNumberFormat="1" applyFont="1" applyBorder="1" applyAlignment="1">
      <alignment horizontal="justify" vertical="center" wrapText="1"/>
    </xf>
    <xf numFmtId="0" fontId="26" fillId="0" borderId="13" xfId="11" quotePrefix="1" applyFont="1" applyBorder="1" applyAlignment="1">
      <alignment horizontal="justify" vertical="center" wrapText="1"/>
    </xf>
    <xf numFmtId="0" fontId="32" fillId="0" borderId="13" xfId="13" applyNumberFormat="1" applyFont="1" applyBorder="1" applyAlignment="1">
      <alignment horizontal="center" vertical="center" wrapText="1"/>
    </xf>
    <xf numFmtId="0" fontId="32" fillId="0" borderId="13" xfId="11" applyFont="1" applyBorder="1" applyAlignment="1">
      <alignment horizontal="justify" vertical="center"/>
    </xf>
    <xf numFmtId="0" fontId="32" fillId="0" borderId="13" xfId="11" applyFont="1" applyBorder="1" applyAlignment="1">
      <alignment horizontal="justify" vertical="center" wrapText="1"/>
    </xf>
    <xf numFmtId="49" fontId="8" fillId="0" borderId="0" xfId="13" applyNumberFormat="1" applyBorder="1" applyAlignment="1">
      <alignment horizontal="center" vertical="center" wrapText="1"/>
    </xf>
    <xf numFmtId="0" fontId="8" fillId="0" borderId="0" xfId="13" applyBorder="1" applyAlignment="1">
      <alignment horizontal="left" vertical="center" wrapText="1"/>
    </xf>
    <xf numFmtId="0" fontId="8" fillId="0" borderId="0" xfId="13" applyBorder="1" applyAlignment="1">
      <alignment horizontal="center" vertical="center" wrapText="1"/>
    </xf>
    <xf numFmtId="4" fontId="8" fillId="0" borderId="0" xfId="13" applyNumberFormat="1" applyBorder="1" applyAlignment="1">
      <alignment horizontal="center" vertical="center" wrapText="1"/>
    </xf>
    <xf numFmtId="4" fontId="2" fillId="0" borderId="0" xfId="13" applyNumberFormat="1" applyFont="1" applyBorder="1" applyAlignment="1">
      <alignment horizontal="center" vertical="center" wrapText="1"/>
    </xf>
    <xf numFmtId="0" fontId="1" fillId="0" borderId="0" xfId="14" applyFont="1" applyAlignment="1">
      <alignment horizontal="center" vertical="center" wrapText="1"/>
    </xf>
    <xf numFmtId="4" fontId="2" fillId="0" borderId="0" xfId="14" applyNumberFormat="1" applyFont="1" applyAlignment="1">
      <alignment horizontal="center" vertical="center" wrapText="1"/>
    </xf>
    <xf numFmtId="0" fontId="3" fillId="0" borderId="0" xfId="14" applyFont="1" applyAlignment="1">
      <alignment horizontal="center" vertical="center" wrapText="1"/>
    </xf>
    <xf numFmtId="0" fontId="8" fillId="0" borderId="0" xfId="14" applyAlignment="1">
      <alignment horizontal="center" vertical="center" wrapText="1"/>
    </xf>
    <xf numFmtId="49" fontId="8" fillId="0" borderId="0" xfId="14" applyNumberFormat="1" applyAlignment="1">
      <alignment horizontal="center" vertical="center" wrapText="1"/>
    </xf>
    <xf numFmtId="0" fontId="8" fillId="0" borderId="0" xfId="14" applyAlignment="1">
      <alignment horizontal="left" vertical="center" wrapText="1"/>
    </xf>
    <xf numFmtId="4" fontId="8" fillId="0" borderId="0" xfId="14" applyNumberFormat="1" applyAlignment="1">
      <alignment horizontal="center" vertical="center" wrapText="1"/>
    </xf>
    <xf numFmtId="49" fontId="31" fillId="0" borderId="13" xfId="14" applyNumberFormat="1" applyFont="1" applyBorder="1" applyAlignment="1">
      <alignment horizontal="center" vertical="center" wrapText="1"/>
    </xf>
    <xf numFmtId="0" fontId="31" fillId="0" borderId="13" xfId="14" applyFont="1" applyBorder="1" applyAlignment="1">
      <alignment horizontal="center" vertical="center" wrapText="1"/>
    </xf>
    <xf numFmtId="4" fontId="31" fillId="0" borderId="13" xfId="14" applyNumberFormat="1" applyFont="1" applyBorder="1" applyAlignment="1">
      <alignment horizontal="center" vertical="center" wrapText="1"/>
    </xf>
    <xf numFmtId="4" fontId="24" fillId="0" borderId="13" xfId="14" applyNumberFormat="1" applyFont="1" applyBorder="1" applyAlignment="1">
      <alignment horizontal="center" vertical="center" wrapText="1"/>
    </xf>
    <xf numFmtId="0" fontId="21" fillId="8" borderId="12" xfId="14" applyFont="1" applyFill="1" applyBorder="1" applyAlignment="1">
      <alignment horizontal="center" vertical="center" wrapText="1"/>
    </xf>
    <xf numFmtId="49" fontId="32" fillId="0" borderId="0" xfId="14" applyNumberFormat="1" applyFont="1" applyBorder="1" applyAlignment="1">
      <alignment horizontal="center" vertical="center" wrapText="1"/>
    </xf>
    <xf numFmtId="0" fontId="26" fillId="0" borderId="0" xfId="14" applyFont="1" applyBorder="1" applyAlignment="1">
      <alignment horizontal="justify" vertical="top" wrapText="1"/>
    </xf>
    <xf numFmtId="0" fontId="32" fillId="0" borderId="0" xfId="14" applyFont="1" applyBorder="1" applyAlignment="1">
      <alignment horizontal="center" vertical="center" wrapText="1"/>
    </xf>
    <xf numFmtId="4" fontId="32" fillId="0" borderId="0" xfId="14" applyNumberFormat="1" applyFont="1" applyBorder="1" applyAlignment="1">
      <alignment horizontal="center" vertical="center" wrapText="1"/>
    </xf>
    <xf numFmtId="4" fontId="27" fillId="0" borderId="0" xfId="14" applyNumberFormat="1" applyFont="1" applyBorder="1" applyAlignment="1">
      <alignment horizontal="center" vertical="center" wrapText="1"/>
    </xf>
    <xf numFmtId="0" fontId="26" fillId="0" borderId="13" xfId="14" applyFont="1" applyBorder="1" applyAlignment="1">
      <alignment horizontal="justify" vertical="center" wrapText="1"/>
    </xf>
    <xf numFmtId="0" fontId="26" fillId="0" borderId="13" xfId="14" applyFont="1" applyBorder="1" applyAlignment="1">
      <alignment vertical="center" wrapText="1"/>
    </xf>
    <xf numFmtId="0" fontId="26" fillId="0" borderId="13" xfId="14" applyFont="1" applyFill="1" applyBorder="1" applyAlignment="1">
      <alignment horizontal="center" vertical="center" wrapText="1"/>
    </xf>
    <xf numFmtId="4" fontId="26" fillId="0" borderId="13" xfId="14" applyNumberFormat="1" applyFont="1" applyFill="1" applyBorder="1" applyAlignment="1">
      <alignment horizontal="center" vertical="center" wrapText="1"/>
    </xf>
    <xf numFmtId="0" fontId="26" fillId="0" borderId="13" xfId="14" applyFont="1" applyBorder="1" applyAlignment="1">
      <alignment horizontal="left" vertical="center" wrapText="1"/>
    </xf>
    <xf numFmtId="0" fontId="26" fillId="0" borderId="13" xfId="14" applyFont="1" applyBorder="1" applyAlignment="1">
      <alignment vertical="center"/>
    </xf>
    <xf numFmtId="49" fontId="26" fillId="0" borderId="13" xfId="4" applyNumberFormat="1" applyFont="1" applyBorder="1" applyAlignment="1">
      <alignment horizontal="justify" vertical="center" wrapText="1"/>
    </xf>
    <xf numFmtId="0" fontId="26" fillId="0" borderId="0" xfId="14" applyNumberFormat="1" applyFont="1" applyBorder="1" applyAlignment="1">
      <alignment horizontal="center" vertical="center" wrapText="1"/>
    </xf>
    <xf numFmtId="0" fontId="26" fillId="0" borderId="0" xfId="14" applyFont="1" applyBorder="1" applyAlignment="1">
      <alignment horizontal="center" vertical="center" wrapText="1"/>
    </xf>
    <xf numFmtId="4" fontId="26" fillId="0" borderId="0" xfId="14" applyNumberFormat="1" applyFont="1" applyBorder="1" applyAlignment="1">
      <alignment horizontal="center" vertical="center" wrapText="1"/>
    </xf>
    <xf numFmtId="0" fontId="25" fillId="8" borderId="14" xfId="14" applyFont="1" applyFill="1" applyBorder="1" applyAlignment="1">
      <alignment horizontal="center" vertical="center" wrapText="1"/>
    </xf>
    <xf numFmtId="0" fontId="33" fillId="0" borderId="13" xfId="14" applyFont="1" applyBorder="1" applyAlignment="1">
      <alignment horizontal="center" vertical="center" wrapText="1"/>
    </xf>
    <xf numFmtId="49" fontId="33" fillId="0" borderId="0" xfId="14" applyNumberFormat="1" applyFont="1" applyAlignment="1">
      <alignment horizontal="center" vertical="center" wrapText="1"/>
    </xf>
    <xf numFmtId="0" fontId="33" fillId="0" borderId="0" xfId="14" applyFont="1" applyAlignment="1">
      <alignment horizontal="center" vertical="center" wrapText="1"/>
    </xf>
    <xf numFmtId="4" fontId="33" fillId="0" borderId="0" xfId="14" applyNumberFormat="1" applyFont="1" applyAlignment="1">
      <alignment horizontal="center" vertical="center" wrapText="1"/>
    </xf>
    <xf numFmtId="4" fontId="27" fillId="0" borderId="0" xfId="14" applyNumberFormat="1" applyFont="1" applyAlignment="1">
      <alignment horizontal="center" vertical="center" wrapText="1"/>
    </xf>
    <xf numFmtId="49" fontId="32" fillId="8" borderId="14" xfId="14" applyNumberFormat="1" applyFont="1" applyFill="1" applyBorder="1" applyAlignment="1">
      <alignment horizontal="center" vertical="center" wrapText="1"/>
    </xf>
    <xf numFmtId="0" fontId="32" fillId="8" borderId="12" xfId="14" applyFont="1" applyFill="1" applyBorder="1" applyAlignment="1">
      <alignment horizontal="center" vertical="center" wrapText="1"/>
    </xf>
    <xf numFmtId="4" fontId="32" fillId="8" borderId="12" xfId="14" applyNumberFormat="1" applyFont="1" applyFill="1" applyBorder="1" applyAlignment="1">
      <alignment horizontal="center" vertical="center" wrapText="1"/>
    </xf>
    <xf numFmtId="4" fontId="27" fillId="8" borderId="17" xfId="14" applyNumberFormat="1" applyFont="1" applyFill="1" applyBorder="1" applyAlignment="1">
      <alignment horizontal="center" vertical="center" wrapText="1"/>
    </xf>
    <xf numFmtId="0" fontId="26" fillId="0" borderId="0" xfId="14" applyFont="1" applyBorder="1" applyAlignment="1">
      <alignment horizontal="left" vertical="center" wrapText="1"/>
    </xf>
    <xf numFmtId="49" fontId="26" fillId="0" borderId="0" xfId="14" applyNumberFormat="1" applyFont="1" applyAlignment="1">
      <alignment horizontal="center" vertical="center" wrapText="1"/>
    </xf>
    <xf numFmtId="0" fontId="26" fillId="8" borderId="12" xfId="14" applyFont="1" applyFill="1" applyBorder="1" applyAlignment="1">
      <alignment horizontal="center" vertical="center" wrapText="1"/>
    </xf>
    <xf numFmtId="4" fontId="26" fillId="8" borderId="12" xfId="14" applyNumberFormat="1" applyFont="1" applyFill="1" applyBorder="1" applyAlignment="1">
      <alignment horizontal="center" vertical="center" wrapText="1"/>
    </xf>
    <xf numFmtId="0" fontId="26" fillId="0" borderId="13" xfId="5" applyNumberFormat="1" applyFont="1" applyBorder="1" applyAlignment="1">
      <alignment horizontal="center" vertical="center" wrapText="1"/>
    </xf>
    <xf numFmtId="0" fontId="8" fillId="0" borderId="0" xfId="5" applyAlignment="1" applyProtection="1">
      <alignment horizontal="center" vertical="center" wrapText="1"/>
      <protection hidden="1"/>
    </xf>
    <xf numFmtId="0" fontId="26" fillId="0" borderId="13" xfId="0" applyNumberFormat="1" applyFont="1" applyBorder="1" applyAlignment="1">
      <alignment horizontal="justify" vertical="center"/>
    </xf>
    <xf numFmtId="0" fontId="26" fillId="0" borderId="13" xfId="5" applyFont="1" applyBorder="1" applyAlignment="1">
      <alignment horizontal="justify" vertical="center" wrapText="1"/>
    </xf>
    <xf numFmtId="0" fontId="26" fillId="0" borderId="13" xfId="5" applyFont="1" applyBorder="1" applyAlignment="1">
      <alignment horizontal="center" vertical="center" wrapText="1"/>
    </xf>
    <xf numFmtId="4" fontId="26" fillId="0" borderId="13" xfId="5" applyNumberFormat="1" applyFont="1" applyBorder="1" applyAlignment="1">
      <alignment horizontal="center" vertical="center" wrapText="1"/>
    </xf>
    <xf numFmtId="0" fontId="26" fillId="0" borderId="13" xfId="5" applyFont="1" applyBorder="1" applyAlignment="1">
      <alignment horizontal="left" vertical="center" wrapText="1"/>
    </xf>
    <xf numFmtId="0" fontId="8" fillId="0" borderId="0" xfId="5" applyAlignment="1">
      <alignment horizontal="center" vertical="center" wrapText="1"/>
    </xf>
    <xf numFmtId="0" fontId="28" fillId="0" borderId="0" xfId="5" applyFont="1" applyAlignment="1">
      <alignment horizontal="center" vertical="center" wrapText="1"/>
    </xf>
    <xf numFmtId="0" fontId="10" fillId="0" borderId="13" xfId="5" applyFont="1" applyBorder="1" applyAlignment="1">
      <alignment horizontal="left" vertical="center" wrapText="1"/>
    </xf>
    <xf numFmtId="0" fontId="32" fillId="0" borderId="0" xfId="12" applyFont="1" applyAlignment="1">
      <alignment horizontal="center" vertical="center" wrapText="1"/>
    </xf>
    <xf numFmtId="0" fontId="28" fillId="0" borderId="0" xfId="14" applyFont="1" applyAlignment="1">
      <alignment horizontal="center" vertical="center" wrapText="1"/>
    </xf>
    <xf numFmtId="0" fontId="26" fillId="0" borderId="13" xfId="5" applyFont="1" applyBorder="1" applyAlignment="1">
      <alignment horizontal="justify" vertical="center"/>
    </xf>
    <xf numFmtId="4" fontId="25" fillId="8" borderId="17" xfId="14" applyNumberFormat="1" applyFont="1" applyFill="1" applyBorder="1" applyAlignment="1">
      <alignment horizontal="center" vertical="center" wrapText="1"/>
    </xf>
    <xf numFmtId="0" fontId="11" fillId="0" borderId="0" xfId="5" applyFont="1" applyBorder="1" applyAlignment="1">
      <alignment horizontal="left" vertical="center" wrapText="1"/>
    </xf>
    <xf numFmtId="49" fontId="31" fillId="0" borderId="13" xfId="0" applyNumberFormat="1" applyFont="1" applyBorder="1" applyAlignment="1" applyProtection="1">
      <alignment horizontal="center" vertical="center" wrapText="1"/>
      <protection locked="0"/>
    </xf>
    <xf numFmtId="0" fontId="14" fillId="0" borderId="13" xfId="0" applyFont="1" applyBorder="1" applyAlignment="1" applyProtection="1">
      <alignment horizontal="center" vertical="center" wrapText="1"/>
      <protection locked="0"/>
    </xf>
    <xf numFmtId="0" fontId="31" fillId="0" borderId="13" xfId="0" applyFont="1" applyBorder="1" applyAlignment="1" applyProtection="1">
      <alignment horizontal="center" vertical="center" wrapText="1"/>
      <protection locked="0"/>
    </xf>
    <xf numFmtId="4" fontId="31" fillId="0" borderId="13" xfId="0" applyNumberFormat="1" applyFont="1" applyBorder="1" applyAlignment="1" applyProtection="1">
      <alignment horizontal="center" vertical="center" wrapText="1"/>
      <protection locked="0"/>
    </xf>
    <xf numFmtId="49" fontId="31" fillId="0" borderId="0" xfId="0" applyNumberFormat="1" applyFont="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4" fontId="31" fillId="0" borderId="0" xfId="0" applyNumberFormat="1" applyFont="1" applyAlignment="1" applyProtection="1">
      <alignment horizontal="center" vertical="center" wrapText="1"/>
      <protection locked="0"/>
    </xf>
    <xf numFmtId="49" fontId="21" fillId="8" borderId="14" xfId="0" applyNumberFormat="1" applyFont="1" applyFill="1" applyBorder="1" applyAlignment="1" applyProtection="1">
      <alignment horizontal="center" vertical="center" wrapText="1"/>
      <protection locked="0"/>
    </xf>
    <xf numFmtId="0" fontId="15" fillId="8" borderId="12" xfId="0" applyFont="1" applyFill="1" applyBorder="1" applyAlignment="1" applyProtection="1">
      <alignment horizontal="center" vertical="center" wrapText="1"/>
      <protection locked="0"/>
    </xf>
    <xf numFmtId="0" fontId="21" fillId="8" borderId="12" xfId="0" applyFont="1" applyFill="1" applyBorder="1" applyAlignment="1" applyProtection="1">
      <alignment horizontal="center" vertical="center" wrapText="1"/>
      <protection locked="0"/>
    </xf>
    <xf numFmtId="4" fontId="21" fillId="8" borderId="12" xfId="0" applyNumberFormat="1" applyFont="1" applyFill="1" applyBorder="1" applyAlignment="1" applyProtection="1">
      <alignment horizontal="center" vertical="center" wrapText="1"/>
      <protection locked="0"/>
    </xf>
    <xf numFmtId="49" fontId="32" fillId="0" borderId="0" xfId="0" applyNumberFormat="1" applyFont="1" applyBorder="1" applyAlignment="1" applyProtection="1">
      <alignment horizontal="center" vertical="center" wrapText="1"/>
      <protection locked="0"/>
    </xf>
    <xf numFmtId="0" fontId="10" fillId="0" borderId="0" xfId="0" applyFont="1" applyBorder="1" applyAlignment="1" applyProtection="1">
      <alignment horizontal="justify" vertical="top" wrapText="1"/>
      <protection locked="0"/>
    </xf>
    <xf numFmtId="0" fontId="32" fillId="0" borderId="0" xfId="0" applyFont="1" applyBorder="1" applyAlignment="1" applyProtection="1">
      <alignment horizontal="center" vertical="center" wrapText="1"/>
      <protection locked="0"/>
    </xf>
    <xf numFmtId="4" fontId="32" fillId="0" borderId="0" xfId="0" applyNumberFormat="1" applyFont="1" applyBorder="1" applyAlignment="1" applyProtection="1">
      <alignment horizontal="center" vertical="center" wrapText="1"/>
      <protection locked="0"/>
    </xf>
    <xf numFmtId="0" fontId="26" fillId="0" borderId="13" xfId="0" applyFont="1" applyBorder="1" applyAlignment="1" applyProtection="1">
      <alignment horizontal="center" vertical="center" wrapText="1"/>
      <protection locked="0"/>
    </xf>
    <xf numFmtId="4" fontId="26" fillId="0" borderId="13" xfId="0" applyNumberFormat="1" applyFont="1" applyBorder="1" applyAlignment="1" applyProtection="1">
      <alignment horizontal="center" vertical="center" wrapText="1"/>
      <protection locked="0"/>
    </xf>
    <xf numFmtId="0" fontId="10" fillId="0" borderId="13" xfId="0" applyFont="1" applyBorder="1" applyAlignment="1" applyProtection="1">
      <alignment horizontal="justify" vertical="center" wrapText="1"/>
      <protection locked="0"/>
    </xf>
    <xf numFmtId="0" fontId="16" fillId="0" borderId="13" xfId="0" applyFont="1" applyBorder="1" applyAlignment="1" applyProtection="1">
      <alignment horizontal="left" vertical="center" wrapText="1"/>
      <protection locked="0"/>
    </xf>
    <xf numFmtId="0" fontId="16" fillId="0" borderId="13" xfId="0" applyFont="1" applyBorder="1" applyAlignment="1" applyProtection="1">
      <alignment horizontal="justify" vertical="center" wrapText="1"/>
      <protection locked="0"/>
    </xf>
    <xf numFmtId="0" fontId="26" fillId="0" borderId="13" xfId="0" applyFont="1" applyBorder="1" applyAlignment="1" applyProtection="1">
      <alignment horizontal="justify" vertical="center" wrapText="1"/>
      <protection locked="0"/>
    </xf>
    <xf numFmtId="0" fontId="10" fillId="0" borderId="0" xfId="0" applyFont="1" applyBorder="1" applyAlignment="1" applyProtection="1">
      <alignment horizontal="left" vertical="center" wrapText="1"/>
      <protection locked="0"/>
    </xf>
    <xf numFmtId="0" fontId="26" fillId="0" borderId="0" xfId="0" applyNumberFormat="1" applyFont="1" applyBorder="1" applyAlignment="1" applyProtection="1">
      <alignment horizontal="center" vertical="center" wrapText="1"/>
      <protection locked="0"/>
    </xf>
    <xf numFmtId="0" fontId="28" fillId="0" borderId="0" xfId="0" applyFont="1" applyBorder="1" applyAlignment="1" applyProtection="1">
      <alignment horizontal="center" vertical="center" wrapText="1"/>
      <protection locked="0"/>
    </xf>
    <xf numFmtId="4" fontId="28" fillId="0" borderId="0" xfId="0" applyNumberFormat="1" applyFont="1" applyBorder="1" applyAlignment="1" applyProtection="1">
      <alignment horizontal="center" vertical="center" wrapText="1"/>
      <protection locked="0"/>
    </xf>
    <xf numFmtId="49" fontId="20" fillId="0" borderId="0" xfId="0" applyNumberFormat="1" applyFont="1" applyAlignment="1" applyProtection="1">
      <alignment horizontal="center" vertical="center" wrapText="1"/>
      <protection locked="0"/>
    </xf>
    <xf numFmtId="0" fontId="13" fillId="8" borderId="14" xfId="0" applyFont="1" applyFill="1" applyBorder="1" applyAlignment="1" applyProtection="1">
      <alignment horizontal="center" vertical="center" wrapText="1"/>
      <protection locked="0"/>
    </xf>
    <xf numFmtId="0" fontId="20" fillId="8" borderId="12" xfId="0" applyFont="1" applyFill="1" applyBorder="1" applyAlignment="1" applyProtection="1">
      <alignment horizontal="center" vertical="center" wrapText="1"/>
      <protection locked="0"/>
    </xf>
    <xf numFmtId="4" fontId="20" fillId="8" borderId="12" xfId="0" applyNumberFormat="1" applyFont="1" applyFill="1" applyBorder="1" applyAlignment="1" applyProtection="1">
      <alignment horizontal="center" vertical="center" wrapText="1"/>
      <protection locked="0"/>
    </xf>
    <xf numFmtId="49" fontId="28"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 fontId="28" fillId="0" borderId="0" xfId="0" applyNumberFormat="1" applyFont="1" applyAlignment="1" applyProtection="1">
      <alignment horizontal="center" vertical="center" wrapText="1"/>
      <protection locked="0"/>
    </xf>
    <xf numFmtId="4" fontId="24" fillId="0" borderId="13" xfId="0" applyNumberFormat="1" applyFont="1" applyBorder="1" applyAlignment="1" applyProtection="1">
      <alignment horizontal="center" vertical="center" wrapText="1"/>
      <protection locked="0"/>
    </xf>
    <xf numFmtId="4" fontId="24" fillId="0" borderId="0" xfId="0" applyNumberFormat="1" applyFont="1" applyAlignment="1" applyProtection="1">
      <alignment horizontal="center" vertical="center" wrapText="1"/>
      <protection locked="0"/>
    </xf>
    <xf numFmtId="4" fontId="25" fillId="8" borderId="17" xfId="0" applyNumberFormat="1" applyFont="1" applyFill="1" applyBorder="1" applyAlignment="1" applyProtection="1">
      <alignment horizontal="center" vertical="center" wrapText="1"/>
      <protection locked="0"/>
    </xf>
    <xf numFmtId="4" fontId="27" fillId="0" borderId="0" xfId="0" applyNumberFormat="1" applyFont="1" applyBorder="1" applyAlignment="1" applyProtection="1">
      <alignment horizontal="center" vertical="center" wrapText="1"/>
      <protection locked="0"/>
    </xf>
    <xf numFmtId="4" fontId="24" fillId="0" borderId="0" xfId="0" applyNumberFormat="1" applyFont="1" applyBorder="1" applyAlignment="1" applyProtection="1">
      <alignment horizontal="center" vertical="center" wrapText="1"/>
      <protection locked="0"/>
    </xf>
    <xf numFmtId="0" fontId="16" fillId="0" borderId="13" xfId="4" applyFont="1" applyBorder="1" applyAlignment="1">
      <alignment horizontal="left" vertical="center" wrapText="1"/>
    </xf>
    <xf numFmtId="0" fontId="10" fillId="0" borderId="16" xfId="0" applyFont="1" applyBorder="1" applyAlignment="1" applyProtection="1">
      <alignment horizontal="justify" vertical="center" wrapText="1"/>
      <protection locked="0"/>
    </xf>
    <xf numFmtId="0" fontId="13" fillId="8" borderId="12" xfId="0" applyFont="1" applyFill="1" applyBorder="1" applyAlignment="1" applyProtection="1">
      <alignment horizontal="center" vertical="center" wrapText="1"/>
      <protection locked="0"/>
    </xf>
    <xf numFmtId="0" fontId="25" fillId="8" borderId="12" xfId="14" applyFont="1" applyFill="1" applyBorder="1" applyAlignment="1">
      <alignment horizontal="center" vertical="center" wrapText="1"/>
    </xf>
    <xf numFmtId="0" fontId="10" fillId="0" borderId="16" xfId="0" applyFont="1" applyBorder="1" applyAlignment="1" applyProtection="1">
      <alignment horizontal="justify" vertical="center"/>
      <protection locked="0"/>
    </xf>
    <xf numFmtId="0" fontId="10" fillId="0" borderId="19" xfId="0" applyFont="1" applyBorder="1" applyAlignment="1" applyProtection="1">
      <alignment horizontal="justify" vertical="center"/>
      <protection locked="0"/>
    </xf>
    <xf numFmtId="0" fontId="10" fillId="0" borderId="19" xfId="0" applyFont="1" applyBorder="1" applyAlignment="1" applyProtection="1">
      <alignment horizontal="justify" vertical="center" wrapText="1"/>
      <protection locked="0"/>
    </xf>
    <xf numFmtId="0" fontId="10" fillId="0" borderId="19" xfId="0" applyFont="1" applyBorder="1" applyAlignment="1" applyProtection="1">
      <alignment vertical="center" wrapText="1"/>
      <protection locked="0"/>
    </xf>
    <xf numFmtId="0" fontId="10" fillId="0" borderId="20" xfId="0" applyFont="1" applyBorder="1" applyAlignment="1" applyProtection="1">
      <alignment vertical="center" wrapText="1"/>
      <protection locked="0"/>
    </xf>
    <xf numFmtId="0" fontId="26" fillId="0" borderId="13" xfId="0" applyNumberFormat="1" applyFont="1" applyBorder="1" applyAlignment="1" applyProtection="1">
      <alignment horizontal="center" vertical="top" wrapText="1"/>
      <protection locked="0"/>
    </xf>
    <xf numFmtId="4" fontId="26" fillId="0" borderId="13" xfId="0" applyNumberFormat="1" applyFont="1" applyBorder="1" applyAlignment="1" applyProtection="1">
      <alignment horizontal="right" wrapText="1"/>
      <protection locked="0"/>
    </xf>
    <xf numFmtId="4" fontId="27" fillId="0" borderId="13" xfId="0" applyNumberFormat="1" applyFont="1" applyBorder="1" applyAlignment="1" applyProtection="1">
      <alignment horizontal="right" wrapText="1"/>
      <protection locked="0"/>
    </xf>
    <xf numFmtId="0" fontId="26" fillId="0" borderId="13" xfId="0" applyFont="1" applyBorder="1" applyAlignment="1" applyProtection="1">
      <alignment horizontal="center" wrapText="1"/>
      <protection locked="0"/>
    </xf>
    <xf numFmtId="4" fontId="26" fillId="0" borderId="13" xfId="0" applyNumberFormat="1" applyFont="1" applyBorder="1" applyAlignment="1" applyProtection="1">
      <alignment horizontal="center" wrapText="1"/>
      <protection locked="0"/>
    </xf>
    <xf numFmtId="0" fontId="26" fillId="0" borderId="16" xfId="4" applyNumberFormat="1" applyFont="1" applyBorder="1" applyAlignment="1">
      <alignment horizontal="justify" vertical="center" wrapText="1"/>
    </xf>
    <xf numFmtId="0" fontId="26" fillId="0" borderId="19" xfId="4" applyNumberFormat="1" applyFont="1" applyBorder="1" applyAlignment="1">
      <alignment horizontal="justify" vertical="center" wrapText="1"/>
    </xf>
    <xf numFmtId="0" fontId="26" fillId="0" borderId="20" xfId="14" applyFont="1" applyBorder="1" applyAlignment="1">
      <alignment horizontal="justify" vertical="center" wrapText="1"/>
    </xf>
    <xf numFmtId="0" fontId="26" fillId="0" borderId="16" xfId="14" applyFont="1" applyBorder="1" applyAlignment="1">
      <alignment horizontal="justify" vertical="center" wrapText="1"/>
    </xf>
    <xf numFmtId="0" fontId="26" fillId="0" borderId="19" xfId="14" applyFont="1" applyBorder="1" applyAlignment="1">
      <alignment horizontal="justify" vertical="center" wrapText="1"/>
    </xf>
    <xf numFmtId="0" fontId="26" fillId="0" borderId="13" xfId="4" applyNumberFormat="1" applyFont="1" applyBorder="1" applyAlignment="1">
      <alignment horizontal="center" vertical="top" wrapText="1"/>
    </xf>
    <xf numFmtId="0" fontId="26" fillId="0" borderId="13" xfId="14" applyFont="1" applyBorder="1" applyAlignment="1">
      <alignment horizontal="center" wrapText="1"/>
    </xf>
    <xf numFmtId="4" fontId="26" fillId="0" borderId="13" xfId="14" applyNumberFormat="1" applyFont="1" applyBorder="1" applyAlignment="1">
      <alignment horizontal="center" wrapText="1"/>
    </xf>
    <xf numFmtId="4" fontId="26" fillId="0" borderId="13" xfId="14" applyNumberFormat="1" applyFont="1" applyBorder="1" applyAlignment="1">
      <alignment horizontal="right" wrapText="1"/>
    </xf>
    <xf numFmtId="4" fontId="27" fillId="0" borderId="13" xfId="0" applyNumberFormat="1" applyFont="1" applyFill="1" applyBorder="1" applyAlignment="1">
      <alignment horizontal="right" wrapText="1"/>
    </xf>
    <xf numFmtId="4" fontId="26" fillId="0" borderId="13" xfId="14" applyNumberFormat="1" applyFont="1" applyBorder="1" applyAlignment="1">
      <alignment horizontal="right" vertical="center" wrapText="1"/>
    </xf>
    <xf numFmtId="4" fontId="27" fillId="0" borderId="13" xfId="0" applyNumberFormat="1" applyFont="1" applyFill="1" applyBorder="1" applyAlignment="1">
      <alignment horizontal="right" vertical="center" wrapText="1"/>
    </xf>
    <xf numFmtId="0" fontId="26" fillId="0" borderId="20" xfId="14" applyFont="1" applyBorder="1" applyAlignment="1">
      <alignment vertical="center" wrapText="1"/>
    </xf>
    <xf numFmtId="0" fontId="26" fillId="0" borderId="19" xfId="14" quotePrefix="1" applyFont="1" applyBorder="1" applyAlignment="1">
      <alignment vertical="center"/>
    </xf>
    <xf numFmtId="0" fontId="26" fillId="0" borderId="19" xfId="14" quotePrefix="1" applyFont="1" applyBorder="1" applyAlignment="1">
      <alignment vertical="center" wrapText="1"/>
    </xf>
    <xf numFmtId="0" fontId="26" fillId="0" borderId="20" xfId="14" quotePrefix="1" applyFont="1" applyBorder="1" applyAlignment="1">
      <alignment vertical="center"/>
    </xf>
    <xf numFmtId="0" fontId="26" fillId="0" borderId="16" xfId="14" applyFont="1" applyFill="1" applyBorder="1" applyAlignment="1">
      <alignment vertical="center"/>
    </xf>
    <xf numFmtId="0" fontId="26" fillId="0" borderId="16" xfId="14" applyFont="1" applyBorder="1" applyAlignment="1">
      <alignment horizontal="left" vertical="center" wrapText="1"/>
    </xf>
    <xf numFmtId="0" fontId="26" fillId="0" borderId="19" xfId="14" quotePrefix="1" applyFont="1" applyBorder="1" applyAlignment="1">
      <alignment horizontal="left" vertical="center" wrapText="1"/>
    </xf>
    <xf numFmtId="0" fontId="26" fillId="0" borderId="13" xfId="14" applyFont="1" applyBorder="1" applyAlignment="1">
      <alignment horizontal="left" vertical="top" wrapText="1"/>
    </xf>
    <xf numFmtId="0" fontId="26" fillId="0" borderId="13" xfId="14" applyFont="1" applyFill="1" applyBorder="1" applyAlignment="1">
      <alignment horizontal="left" vertical="top"/>
    </xf>
    <xf numFmtId="0" fontId="26" fillId="0" borderId="16" xfId="14" applyFont="1" applyBorder="1" applyAlignment="1">
      <alignment vertical="center" wrapText="1"/>
    </xf>
    <xf numFmtId="0" fontId="26" fillId="0" borderId="13" xfId="14" applyNumberFormat="1" applyFont="1" applyBorder="1" applyAlignment="1">
      <alignment horizontal="center" vertical="top" wrapText="1"/>
    </xf>
    <xf numFmtId="0" fontId="26" fillId="0" borderId="13" xfId="5" applyNumberFormat="1" applyFont="1" applyBorder="1" applyAlignment="1">
      <alignment horizontal="center" vertical="top" wrapText="1"/>
    </xf>
    <xf numFmtId="0" fontId="26" fillId="0" borderId="20" xfId="5" applyFont="1" applyBorder="1" applyAlignment="1">
      <alignment horizontal="left" vertical="center" wrapText="1"/>
    </xf>
    <xf numFmtId="0" fontId="26" fillId="0" borderId="16" xfId="18" applyFont="1" applyBorder="1" applyAlignment="1">
      <alignment horizontal="justify" vertical="center" wrapText="1"/>
    </xf>
    <xf numFmtId="0" fontId="26" fillId="0" borderId="19" xfId="18" quotePrefix="1" applyFont="1" applyBorder="1" applyAlignment="1">
      <alignment horizontal="justify" vertical="center" wrapText="1"/>
    </xf>
    <xf numFmtId="0" fontId="26" fillId="0" borderId="20" xfId="18" quotePrefix="1" applyFont="1" applyBorder="1" applyAlignment="1">
      <alignment horizontal="justify" vertical="center" wrapText="1"/>
    </xf>
    <xf numFmtId="0" fontId="26" fillId="0" borderId="13" xfId="5" applyFont="1" applyBorder="1" applyAlignment="1">
      <alignment horizontal="center" wrapText="1"/>
    </xf>
    <xf numFmtId="4" fontId="26" fillId="0" borderId="13" xfId="5" applyNumberFormat="1" applyFont="1" applyBorder="1" applyAlignment="1">
      <alignment horizontal="center" wrapText="1"/>
    </xf>
    <xf numFmtId="4" fontId="26" fillId="0" borderId="13" xfId="5" applyNumberFormat="1" applyFont="1" applyBorder="1" applyAlignment="1">
      <alignment horizontal="right" wrapText="1"/>
    </xf>
    <xf numFmtId="0" fontId="26" fillId="0" borderId="16" xfId="5" applyFont="1" applyBorder="1" applyAlignment="1">
      <alignment horizontal="left" vertical="center" wrapText="1"/>
    </xf>
    <xf numFmtId="0" fontId="26" fillId="0" borderId="20" xfId="0" applyNumberFormat="1" applyFont="1" applyBorder="1" applyAlignment="1">
      <alignment horizontal="justify" vertical="center"/>
    </xf>
    <xf numFmtId="0" fontId="26" fillId="0" borderId="16" xfId="0" applyFont="1" applyBorder="1" applyAlignment="1">
      <alignment horizontal="justify" vertical="center" wrapText="1"/>
    </xf>
    <xf numFmtId="0" fontId="26" fillId="0" borderId="20" xfId="0" applyFont="1" applyBorder="1" applyAlignment="1">
      <alignment horizontal="left" vertical="center" wrapText="1"/>
    </xf>
    <xf numFmtId="0" fontId="26" fillId="0" borderId="13" xfId="0" applyFont="1" applyBorder="1" applyAlignment="1">
      <alignment horizontal="center" wrapText="1"/>
    </xf>
    <xf numFmtId="4" fontId="26" fillId="0" borderId="13" xfId="0" applyNumberFormat="1" applyFont="1" applyBorder="1" applyAlignment="1">
      <alignment horizontal="center" wrapText="1"/>
    </xf>
    <xf numFmtId="4" fontId="26" fillId="0" borderId="13" xfId="0" applyNumberFormat="1" applyFont="1" applyBorder="1" applyAlignment="1">
      <alignment horizontal="right" wrapText="1"/>
    </xf>
    <xf numFmtId="4" fontId="26" fillId="0" borderId="16" xfId="5" applyNumberFormat="1" applyFont="1" applyBorder="1" applyAlignment="1">
      <alignment horizontal="right" wrapText="1"/>
    </xf>
    <xf numFmtId="0" fontId="16" fillId="0" borderId="20" xfId="4" applyFont="1" applyBorder="1" applyAlignment="1">
      <alignment horizontal="left" vertical="center" wrapText="1"/>
    </xf>
    <xf numFmtId="0" fontId="10" fillId="0" borderId="16" xfId="4" applyFont="1" applyBorder="1" applyAlignment="1">
      <alignment horizontal="justify" vertical="center" wrapText="1"/>
    </xf>
    <xf numFmtId="0" fontId="26" fillId="0" borderId="20" xfId="4" applyFont="1" applyBorder="1" applyAlignment="1">
      <alignment horizontal="justify" vertical="center" wrapText="1"/>
    </xf>
    <xf numFmtId="0" fontId="26" fillId="0" borderId="13" xfId="3" applyFont="1" applyBorder="1" applyAlignment="1">
      <alignment horizontal="center" wrapText="1"/>
    </xf>
    <xf numFmtId="4" fontId="26" fillId="0" borderId="13" xfId="3" applyNumberFormat="1" applyFont="1" applyBorder="1" applyAlignment="1">
      <alignment horizontal="center" wrapText="1"/>
    </xf>
    <xf numFmtId="0" fontId="30" fillId="0" borderId="13" xfId="4" applyFont="1" applyBorder="1" applyAlignment="1">
      <alignment horizontal="center" wrapText="1"/>
    </xf>
    <xf numFmtId="4" fontId="30" fillId="0" borderId="13" xfId="4" applyNumberFormat="1" applyFont="1" applyBorder="1" applyAlignment="1">
      <alignment horizontal="center" wrapText="1"/>
    </xf>
    <xf numFmtId="0" fontId="26" fillId="0" borderId="13" xfId="4" applyFont="1" applyBorder="1" applyAlignment="1">
      <alignment horizontal="center" wrapText="1"/>
    </xf>
    <xf numFmtId="4" fontId="26" fillId="0" borderId="13" xfId="4" applyNumberFormat="1" applyFont="1" applyBorder="1" applyAlignment="1">
      <alignment horizontal="center" wrapText="1"/>
    </xf>
    <xf numFmtId="4" fontId="30" fillId="0" borderId="13" xfId="4" applyNumberFormat="1" applyFont="1" applyBorder="1" applyAlignment="1">
      <alignment horizontal="right" wrapText="1"/>
    </xf>
    <xf numFmtId="4" fontId="26" fillId="0" borderId="13" xfId="4" applyNumberFormat="1" applyFont="1" applyBorder="1" applyAlignment="1">
      <alignment horizontal="right" wrapText="1"/>
    </xf>
    <xf numFmtId="4" fontId="26" fillId="0" borderId="13" xfId="4" applyNumberFormat="1" applyFont="1" applyBorder="1" applyAlignment="1">
      <alignment wrapText="1"/>
    </xf>
    <xf numFmtId="4" fontId="27" fillId="0" borderId="13" xfId="0" applyNumberFormat="1" applyFont="1" applyFill="1" applyBorder="1" applyAlignment="1">
      <alignment wrapText="1"/>
    </xf>
    <xf numFmtId="4" fontId="26" fillId="0" borderId="13" xfId="14" applyNumberFormat="1" applyFont="1" applyBorder="1" applyAlignment="1">
      <alignment wrapText="1"/>
    </xf>
    <xf numFmtId="0" fontId="10" fillId="0" borderId="16" xfId="0" applyFont="1" applyBorder="1" applyAlignment="1" applyProtection="1">
      <alignment vertical="center" wrapText="1"/>
      <protection locked="0"/>
    </xf>
    <xf numFmtId="0" fontId="8" fillId="0" borderId="0" xfId="14" applyFont="1" applyAlignment="1">
      <alignment horizontal="left" vertical="center" wrapText="1"/>
    </xf>
    <xf numFmtId="0" fontId="20" fillId="5" borderId="2" xfId="0" applyFont="1" applyFill="1" applyBorder="1" applyAlignment="1">
      <alignment horizontal="left"/>
    </xf>
    <xf numFmtId="0" fontId="20" fillId="5" borderId="3" xfId="0" applyFont="1" applyFill="1" applyBorder="1" applyAlignment="1">
      <alignment horizontal="left"/>
    </xf>
    <xf numFmtId="0" fontId="20" fillId="5" borderId="4" xfId="0" applyFont="1" applyFill="1" applyBorder="1" applyAlignment="1"/>
    <xf numFmtId="0" fontId="28" fillId="5" borderId="0" xfId="0" applyFont="1" applyFill="1" applyBorder="1" applyAlignment="1"/>
    <xf numFmtId="0" fontId="20" fillId="2" borderId="2" xfId="0" applyFont="1" applyFill="1" applyBorder="1" applyAlignment="1"/>
    <xf numFmtId="0" fontId="20" fillId="9" borderId="2" xfId="0" applyFont="1" applyFill="1" applyBorder="1"/>
    <xf numFmtId="0" fontId="20" fillId="9" borderId="3" xfId="0" applyFont="1" applyFill="1" applyBorder="1"/>
    <xf numFmtId="0" fontId="21" fillId="2" borderId="1" xfId="0" applyFont="1" applyFill="1" applyBorder="1" applyAlignment="1"/>
    <xf numFmtId="0" fontId="22" fillId="2" borderId="2" xfId="0" applyFont="1" applyFill="1" applyBorder="1" applyAlignment="1"/>
    <xf numFmtId="0" fontId="21" fillId="4" borderId="2" xfId="0" applyFont="1" applyFill="1" applyBorder="1" applyAlignment="1">
      <alignment horizontal="center"/>
    </xf>
    <xf numFmtId="0" fontId="29" fillId="2" borderId="6" xfId="0" applyFont="1" applyFill="1" applyBorder="1" applyAlignment="1">
      <alignment horizontal="center"/>
    </xf>
    <xf numFmtId="0" fontId="29" fillId="2" borderId="8" xfId="0" applyFont="1" applyFill="1" applyBorder="1" applyAlignment="1">
      <alignment horizontal="center"/>
    </xf>
    <xf numFmtId="0" fontId="20" fillId="2" borderId="2" xfId="0" applyFont="1" applyFill="1" applyBorder="1" applyAlignment="1">
      <alignment horizontal="left"/>
    </xf>
    <xf numFmtId="0" fontId="20" fillId="2" borderId="3" xfId="0" applyFont="1" applyFill="1" applyBorder="1" applyAlignment="1">
      <alignment horizontal="left"/>
    </xf>
    <xf numFmtId="0" fontId="20" fillId="2" borderId="6" xfId="0" applyFont="1" applyFill="1" applyBorder="1" applyAlignment="1">
      <alignment horizontal="left"/>
    </xf>
    <xf numFmtId="0" fontId="20" fillId="2" borderId="8" xfId="0" applyFont="1" applyFill="1" applyBorder="1" applyAlignment="1">
      <alignment horizontal="left"/>
    </xf>
    <xf numFmtId="0" fontId="20" fillId="2" borderId="6" xfId="0" applyFont="1" applyFill="1" applyBorder="1" applyAlignment="1"/>
    <xf numFmtId="0" fontId="28" fillId="2" borderId="6" xfId="0" applyFont="1" applyFill="1" applyBorder="1" applyAlignment="1"/>
    <xf numFmtId="0" fontId="28" fillId="2" borderId="8" xfId="0" applyFont="1" applyFill="1" applyBorder="1" applyAlignment="1"/>
    <xf numFmtId="0" fontId="28" fillId="2" borderId="2" xfId="0" applyFont="1" applyFill="1" applyBorder="1" applyAlignment="1"/>
    <xf numFmtId="0" fontId="28" fillId="2" borderId="3" xfId="0" applyFont="1" applyFill="1" applyBorder="1" applyAlignment="1"/>
    <xf numFmtId="0" fontId="21" fillId="4" borderId="4" xfId="0" applyFont="1" applyFill="1" applyBorder="1" applyAlignment="1">
      <alignment horizontal="center"/>
    </xf>
    <xf numFmtId="0" fontId="28" fillId="4" borderId="0" xfId="0" applyFont="1" applyFill="1" applyAlignment="1"/>
    <xf numFmtId="0" fontId="28" fillId="4" borderId="5" xfId="0" applyFont="1" applyFill="1" applyBorder="1" applyAlignment="1"/>
    <xf numFmtId="0" fontId="20" fillId="4" borderId="7" xfId="0" applyFont="1" applyFill="1" applyBorder="1" applyAlignment="1"/>
    <xf numFmtId="0" fontId="28" fillId="4" borderId="6" xfId="0" applyFont="1" applyFill="1" applyBorder="1" applyAlignment="1"/>
    <xf numFmtId="0" fontId="28" fillId="4" borderId="8" xfId="0" applyFont="1" applyFill="1" applyBorder="1" applyAlignment="1"/>
    <xf numFmtId="0" fontId="21" fillId="4" borderId="1" xfId="0" applyFont="1" applyFill="1" applyBorder="1" applyAlignment="1">
      <alignment horizontal="center"/>
    </xf>
    <xf numFmtId="0" fontId="22" fillId="4" borderId="2" xfId="0" applyFont="1" applyFill="1" applyBorder="1" applyAlignment="1">
      <alignment horizontal="center"/>
    </xf>
    <xf numFmtId="0" fontId="22" fillId="4" borderId="3" xfId="0" applyFont="1" applyFill="1" applyBorder="1" applyAlignment="1">
      <alignment horizontal="center"/>
    </xf>
    <xf numFmtId="0" fontId="20" fillId="4" borderId="4" xfId="0" applyFont="1" applyFill="1" applyBorder="1" applyAlignment="1">
      <alignment horizontal="center"/>
    </xf>
    <xf numFmtId="0" fontId="28" fillId="4" borderId="0" xfId="0" applyFont="1" applyFill="1" applyBorder="1" applyAlignment="1">
      <alignment horizontal="center"/>
    </xf>
    <xf numFmtId="0" fontId="28" fillId="4" borderId="5" xfId="0" applyFont="1" applyFill="1" applyBorder="1" applyAlignment="1">
      <alignment horizontal="center"/>
    </xf>
    <xf numFmtId="0" fontId="20" fillId="4" borderId="7" xfId="0" applyFont="1" applyFill="1" applyBorder="1" applyAlignment="1">
      <alignment horizontal="center"/>
    </xf>
    <xf numFmtId="0" fontId="28" fillId="4" borderId="6" xfId="0" applyFont="1" applyFill="1" applyBorder="1" applyAlignment="1">
      <alignment horizontal="center"/>
    </xf>
    <xf numFmtId="0" fontId="28" fillId="4" borderId="8" xfId="0" applyFont="1" applyFill="1" applyBorder="1" applyAlignment="1">
      <alignment horizontal="center"/>
    </xf>
    <xf numFmtId="0" fontId="21" fillId="2" borderId="7" xfId="0" applyFont="1" applyFill="1" applyBorder="1" applyAlignment="1"/>
    <xf numFmtId="0" fontId="22" fillId="2" borderId="6" xfId="0" applyFont="1" applyFill="1" applyBorder="1" applyAlignment="1"/>
    <xf numFmtId="0" fontId="26" fillId="0" borderId="16" xfId="0" applyNumberFormat="1" applyFont="1" applyBorder="1" applyAlignment="1" applyProtection="1">
      <alignment horizontal="center" vertical="top" wrapText="1"/>
      <protection locked="0"/>
    </xf>
    <xf numFmtId="0" fontId="26" fillId="0" borderId="19" xfId="0" applyNumberFormat="1" applyFont="1" applyBorder="1" applyAlignment="1" applyProtection="1">
      <alignment horizontal="center" vertical="top" wrapText="1"/>
      <protection locked="0"/>
    </xf>
    <xf numFmtId="0" fontId="26" fillId="0" borderId="20" xfId="0" applyNumberFormat="1" applyFont="1" applyBorder="1" applyAlignment="1" applyProtection="1">
      <alignment horizontal="center" vertical="top" wrapText="1"/>
      <protection locked="0"/>
    </xf>
    <xf numFmtId="0" fontId="26" fillId="0" borderId="1" xfId="0" applyNumberFormat="1" applyFont="1" applyFill="1" applyBorder="1" applyAlignment="1" applyProtection="1">
      <alignment horizontal="center" vertical="top" wrapText="1"/>
      <protection locked="0"/>
    </xf>
    <xf numFmtId="0" fontId="26" fillId="0" borderId="4" xfId="0" applyNumberFormat="1" applyFont="1" applyFill="1" applyBorder="1" applyAlignment="1" applyProtection="1">
      <alignment horizontal="center" vertical="top" wrapText="1"/>
      <protection locked="0"/>
    </xf>
    <xf numFmtId="0" fontId="26" fillId="0" borderId="7" xfId="0" applyNumberFormat="1" applyFont="1" applyFill="1" applyBorder="1" applyAlignment="1" applyProtection="1">
      <alignment horizontal="center" vertical="top" wrapText="1"/>
      <protection locked="0"/>
    </xf>
    <xf numFmtId="0" fontId="10" fillId="0" borderId="3" xfId="0" applyFont="1" applyBorder="1" applyAlignment="1" applyProtection="1">
      <alignment horizontal="left" vertical="top" wrapText="1"/>
      <protection locked="0"/>
    </xf>
    <xf numFmtId="0" fontId="10" fillId="0" borderId="5" xfId="0" applyFont="1" applyBorder="1" applyAlignment="1" applyProtection="1">
      <alignment horizontal="left" vertical="top" wrapText="1"/>
      <protection locked="0"/>
    </xf>
    <xf numFmtId="0" fontId="10" fillId="0" borderId="8" xfId="0" applyFont="1" applyBorder="1" applyAlignment="1" applyProtection="1">
      <alignment horizontal="left" vertical="top" wrapText="1"/>
      <protection locked="0"/>
    </xf>
    <xf numFmtId="0" fontId="26" fillId="0" borderId="16" xfId="0" applyFont="1" applyBorder="1" applyAlignment="1" applyProtection="1">
      <alignment horizontal="center" wrapText="1"/>
      <protection locked="0"/>
    </xf>
    <xf numFmtId="0" fontId="26" fillId="0" borderId="19" xfId="0" applyFont="1" applyBorder="1" applyAlignment="1" applyProtection="1">
      <alignment horizontal="center" wrapText="1"/>
      <protection locked="0"/>
    </xf>
    <xf numFmtId="0" fontId="26" fillId="0" borderId="20" xfId="0" applyFont="1" applyBorder="1" applyAlignment="1" applyProtection="1">
      <alignment horizontal="center" wrapText="1"/>
      <protection locked="0"/>
    </xf>
    <xf numFmtId="4" fontId="26" fillId="0" borderId="16" xfId="0" applyNumberFormat="1" applyFont="1" applyBorder="1" applyAlignment="1" applyProtection="1">
      <alignment horizontal="center" wrapText="1"/>
      <protection locked="0"/>
    </xf>
    <xf numFmtId="4" fontId="26" fillId="0" borderId="19" xfId="0" applyNumberFormat="1" applyFont="1" applyBorder="1" applyAlignment="1" applyProtection="1">
      <alignment horizontal="center" wrapText="1"/>
      <protection locked="0"/>
    </xf>
    <xf numFmtId="4" fontId="26" fillId="0" borderId="20" xfId="0" applyNumberFormat="1" applyFont="1" applyBorder="1" applyAlignment="1" applyProtection="1">
      <alignment horizontal="center" wrapText="1"/>
      <protection locked="0"/>
    </xf>
    <xf numFmtId="4" fontId="26" fillId="0" borderId="16" xfId="0" applyNumberFormat="1" applyFont="1" applyBorder="1" applyAlignment="1" applyProtection="1">
      <alignment horizontal="right" wrapText="1"/>
      <protection locked="0"/>
    </xf>
    <xf numFmtId="4" fontId="26" fillId="0" borderId="19" xfId="0" applyNumberFormat="1" applyFont="1" applyBorder="1" applyAlignment="1" applyProtection="1">
      <alignment horizontal="right" wrapText="1"/>
      <protection locked="0"/>
    </xf>
    <xf numFmtId="4" fontId="26" fillId="0" borderId="20" xfId="0" applyNumberFormat="1" applyFont="1" applyBorder="1" applyAlignment="1" applyProtection="1">
      <alignment horizontal="right" wrapText="1"/>
      <protection locked="0"/>
    </xf>
    <xf numFmtId="4" fontId="27" fillId="0" borderId="16" xfId="0" applyNumberFormat="1" applyFont="1" applyBorder="1" applyAlignment="1" applyProtection="1">
      <alignment horizontal="right" wrapText="1"/>
      <protection locked="0"/>
    </xf>
    <xf numFmtId="4" fontId="27" fillId="0" borderId="19" xfId="0" applyNumberFormat="1" applyFont="1" applyBorder="1" applyAlignment="1" applyProtection="1">
      <alignment horizontal="right" wrapText="1"/>
      <protection locked="0"/>
    </xf>
    <xf numFmtId="4" fontId="27" fillId="0" borderId="20" xfId="0" applyNumberFormat="1" applyFont="1" applyBorder="1" applyAlignment="1" applyProtection="1">
      <alignment horizontal="right" wrapText="1"/>
      <protection locked="0"/>
    </xf>
    <xf numFmtId="0" fontId="10" fillId="0" borderId="3" xfId="0" applyFont="1" applyBorder="1" applyAlignment="1" applyProtection="1">
      <alignment horizontal="left" vertical="top"/>
      <protection locked="0"/>
    </xf>
    <xf numFmtId="0" fontId="10" fillId="0" borderId="5" xfId="0" applyFont="1" applyBorder="1" applyAlignment="1" applyProtection="1">
      <alignment horizontal="left" vertical="top"/>
      <protection locked="0"/>
    </xf>
    <xf numFmtId="0" fontId="10" fillId="0" borderId="16" xfId="0" applyFont="1" applyBorder="1" applyAlignment="1" applyProtection="1">
      <alignment horizontal="left" vertical="top" wrapText="1"/>
      <protection locked="0"/>
    </xf>
    <xf numFmtId="0" fontId="10" fillId="0" borderId="19" xfId="0" applyFont="1" applyBorder="1" applyAlignment="1" applyProtection="1">
      <alignment horizontal="left" vertical="top" wrapText="1"/>
      <protection locked="0"/>
    </xf>
    <xf numFmtId="0" fontId="10" fillId="0" borderId="20" xfId="0" applyFont="1" applyBorder="1" applyAlignment="1" applyProtection="1">
      <alignment horizontal="left" vertical="top" wrapText="1"/>
      <protection locked="0"/>
    </xf>
    <xf numFmtId="4" fontId="27" fillId="0" borderId="16" xfId="0" applyNumberFormat="1" applyFont="1" applyFill="1" applyBorder="1" applyAlignment="1">
      <alignment wrapText="1"/>
    </xf>
    <xf numFmtId="4" fontId="27" fillId="0" borderId="19" xfId="0" applyNumberFormat="1" applyFont="1" applyFill="1" applyBorder="1" applyAlignment="1">
      <alignment wrapText="1"/>
    </xf>
    <xf numFmtId="4" fontId="27" fillId="0" borderId="20" xfId="0" applyNumberFormat="1" applyFont="1" applyFill="1" applyBorder="1" applyAlignment="1">
      <alignment wrapText="1"/>
    </xf>
    <xf numFmtId="0" fontId="26" fillId="0" borderId="2" xfId="14" applyFont="1" applyBorder="1" applyAlignment="1">
      <alignment horizontal="left" vertical="justify" wrapText="1"/>
    </xf>
    <xf numFmtId="49" fontId="26" fillId="0" borderId="0" xfId="4" applyNumberFormat="1" applyFont="1" applyBorder="1" applyAlignment="1">
      <alignment horizontal="left" vertical="center"/>
    </xf>
    <xf numFmtId="0" fontId="26" fillId="0" borderId="1" xfId="14" applyNumberFormat="1" applyFont="1" applyBorder="1" applyAlignment="1">
      <alignment horizontal="center" vertical="top" wrapText="1"/>
    </xf>
    <xf numFmtId="0" fontId="26" fillId="0" borderId="4" xfId="14" applyNumberFormat="1" applyFont="1" applyBorder="1" applyAlignment="1">
      <alignment horizontal="center" vertical="top" wrapText="1"/>
    </xf>
    <xf numFmtId="0" fontId="26" fillId="0" borderId="7" xfId="14" applyNumberFormat="1" applyFont="1" applyBorder="1" applyAlignment="1">
      <alignment horizontal="center" vertical="top" wrapText="1"/>
    </xf>
    <xf numFmtId="0" fontId="26" fillId="0" borderId="16" xfId="4" applyNumberFormat="1" applyFont="1" applyBorder="1" applyAlignment="1">
      <alignment horizontal="center" vertical="top" wrapText="1"/>
    </xf>
    <xf numFmtId="0" fontId="26" fillId="0" borderId="19" xfId="4" applyNumberFormat="1" applyFont="1" applyBorder="1" applyAlignment="1">
      <alignment horizontal="center" vertical="top" wrapText="1"/>
    </xf>
    <xf numFmtId="0" fontId="26" fillId="0" borderId="20" xfId="4" applyNumberFormat="1" applyFont="1" applyBorder="1" applyAlignment="1">
      <alignment horizontal="center" vertical="top" wrapText="1"/>
    </xf>
    <xf numFmtId="0" fontId="26" fillId="0" borderId="3" xfId="14" applyFont="1" applyBorder="1" applyAlignment="1">
      <alignment horizontal="left" vertical="top" wrapText="1"/>
    </xf>
    <xf numFmtId="0" fontId="26" fillId="0" borderId="5" xfId="14" applyFont="1" applyBorder="1" applyAlignment="1">
      <alignment horizontal="left" vertical="top" wrapText="1"/>
    </xf>
    <xf numFmtId="0" fontId="26" fillId="0" borderId="8" xfId="14" applyFont="1" applyBorder="1" applyAlignment="1">
      <alignment horizontal="left" vertical="top" wrapText="1"/>
    </xf>
    <xf numFmtId="0" fontId="26" fillId="0" borderId="16" xfId="14" applyFont="1" applyBorder="1" applyAlignment="1">
      <alignment horizontal="center" wrapText="1"/>
    </xf>
    <xf numFmtId="0" fontId="26" fillId="0" borderId="19" xfId="14" applyFont="1" applyBorder="1" applyAlignment="1">
      <alignment horizontal="center" wrapText="1"/>
    </xf>
    <xf numFmtId="0" fontId="26" fillId="0" borderId="20" xfId="14" applyFont="1" applyBorder="1" applyAlignment="1">
      <alignment horizontal="center" wrapText="1"/>
    </xf>
    <xf numFmtId="4" fontId="26" fillId="0" borderId="16" xfId="14" applyNumberFormat="1" applyFont="1" applyBorder="1" applyAlignment="1">
      <alignment horizontal="center" wrapText="1"/>
    </xf>
    <xf numFmtId="4" fontId="26" fillId="0" borderId="19" xfId="14" applyNumberFormat="1" applyFont="1" applyBorder="1" applyAlignment="1">
      <alignment horizontal="center" wrapText="1"/>
    </xf>
    <xf numFmtId="4" fontId="26" fillId="0" borderId="20" xfId="14" applyNumberFormat="1" applyFont="1" applyBorder="1" applyAlignment="1">
      <alignment horizontal="center" wrapText="1"/>
    </xf>
    <xf numFmtId="4" fontId="26" fillId="0" borderId="16" xfId="14" applyNumberFormat="1" applyFont="1" applyBorder="1" applyAlignment="1">
      <alignment wrapText="1"/>
    </xf>
    <xf numFmtId="4" fontId="26" fillId="0" borderId="19" xfId="14" applyNumberFormat="1" applyFont="1" applyBorder="1" applyAlignment="1">
      <alignment wrapText="1"/>
    </xf>
    <xf numFmtId="4" fontId="26" fillId="0" borderId="20" xfId="14" applyNumberFormat="1" applyFont="1" applyBorder="1" applyAlignment="1">
      <alignment wrapText="1"/>
    </xf>
    <xf numFmtId="0" fontId="26" fillId="0" borderId="16" xfId="4" applyFont="1" applyBorder="1" applyAlignment="1">
      <alignment horizontal="left" vertical="top" wrapText="1"/>
    </xf>
    <xf numFmtId="0" fontId="26" fillId="0" borderId="20" xfId="4" applyFont="1" applyBorder="1" applyAlignment="1">
      <alignment horizontal="left" vertical="top" wrapText="1"/>
    </xf>
    <xf numFmtId="0" fontId="19" fillId="0" borderId="16" xfId="14" applyFont="1" applyBorder="1" applyAlignment="1">
      <alignment horizontal="center" wrapText="1"/>
    </xf>
    <xf numFmtId="0" fontId="19" fillId="0" borderId="20" xfId="14" applyFont="1" applyBorder="1" applyAlignment="1">
      <alignment horizontal="center" wrapText="1"/>
    </xf>
    <xf numFmtId="4" fontId="19" fillId="0" borderId="16" xfId="14" applyNumberFormat="1" applyFont="1" applyBorder="1" applyAlignment="1">
      <alignment horizontal="center" wrapText="1"/>
    </xf>
    <xf numFmtId="4" fontId="19" fillId="0" borderId="20" xfId="14" applyNumberFormat="1" applyFont="1" applyBorder="1" applyAlignment="1">
      <alignment horizontal="center" wrapText="1"/>
    </xf>
    <xf numFmtId="4" fontId="27" fillId="0" borderId="16" xfId="0" applyNumberFormat="1" applyFont="1" applyFill="1" applyBorder="1" applyAlignment="1">
      <alignment horizontal="center" wrapText="1"/>
    </xf>
    <xf numFmtId="4" fontId="27" fillId="0" borderId="20" xfId="0" applyNumberFormat="1" applyFont="1" applyFill="1" applyBorder="1" applyAlignment="1">
      <alignment horizontal="center" wrapText="1"/>
    </xf>
    <xf numFmtId="0" fontId="26" fillId="0" borderId="16" xfId="5" applyNumberFormat="1" applyFont="1" applyBorder="1" applyAlignment="1">
      <alignment horizontal="center" vertical="top" wrapText="1"/>
    </xf>
    <xf numFmtId="0" fontId="26" fillId="0" borderId="20" xfId="5" applyNumberFormat="1" applyFont="1" applyBorder="1" applyAlignment="1">
      <alignment horizontal="center" vertical="top" wrapText="1"/>
    </xf>
    <xf numFmtId="0" fontId="26" fillId="0" borderId="19" xfId="5" applyNumberFormat="1" applyFont="1" applyBorder="1" applyAlignment="1">
      <alignment horizontal="center" vertical="top" wrapText="1"/>
    </xf>
    <xf numFmtId="0" fontId="26" fillId="0" borderId="1" xfId="4" applyNumberFormat="1" applyFont="1" applyBorder="1" applyAlignment="1">
      <alignment horizontal="center" vertical="top" wrapText="1"/>
    </xf>
    <xf numFmtId="0" fontId="26" fillId="0" borderId="4" xfId="4" applyNumberFormat="1" applyFont="1" applyBorder="1" applyAlignment="1">
      <alignment horizontal="center" vertical="top" wrapText="1"/>
    </xf>
    <xf numFmtId="4" fontId="27" fillId="0" borderId="16" xfId="0" applyNumberFormat="1" applyFont="1" applyBorder="1" applyAlignment="1" applyProtection="1">
      <alignment horizontal="right" wrapText="1"/>
      <protection hidden="1"/>
    </xf>
    <xf numFmtId="4" fontId="27" fillId="0" borderId="20" xfId="0" applyNumberFormat="1" applyFont="1" applyBorder="1" applyAlignment="1" applyProtection="1">
      <alignment horizontal="right" wrapText="1"/>
      <protection hidden="1"/>
    </xf>
    <xf numFmtId="0" fontId="26" fillId="0" borderId="1" xfId="5" applyNumberFormat="1" applyFont="1" applyBorder="1" applyAlignment="1">
      <alignment horizontal="center" vertical="top" wrapText="1"/>
    </xf>
    <xf numFmtId="0" fontId="26" fillId="0" borderId="4" xfId="5" applyNumberFormat="1" applyFont="1" applyBorder="1" applyAlignment="1">
      <alignment horizontal="center" vertical="top" wrapText="1"/>
    </xf>
    <xf numFmtId="0" fontId="26" fillId="0" borderId="7" xfId="5" applyNumberFormat="1" applyFont="1" applyBorder="1" applyAlignment="1">
      <alignment horizontal="center" vertical="top" wrapText="1"/>
    </xf>
    <xf numFmtId="0" fontId="26" fillId="0" borderId="3" xfId="18" applyFont="1" applyBorder="1" applyAlignment="1">
      <alignment horizontal="center" vertical="center" wrapText="1"/>
    </xf>
    <xf numFmtId="0" fontId="26" fillId="0" borderId="5" xfId="18" applyFont="1" applyBorder="1" applyAlignment="1">
      <alignment horizontal="center" vertical="center" wrapText="1"/>
    </xf>
    <xf numFmtId="0" fontId="26" fillId="0" borderId="8" xfId="18" applyFont="1" applyBorder="1" applyAlignment="1">
      <alignment horizontal="center" vertical="center" wrapText="1"/>
    </xf>
    <xf numFmtId="0" fontId="26" fillId="0" borderId="16" xfId="0" applyFont="1" applyBorder="1" applyAlignment="1" applyProtection="1">
      <alignment horizontal="center" wrapText="1"/>
      <protection hidden="1"/>
    </xf>
    <xf numFmtId="0" fontId="26" fillId="0" borderId="19" xfId="0" applyFont="1" applyBorder="1" applyAlignment="1" applyProtection="1">
      <alignment horizontal="center" wrapText="1"/>
      <protection hidden="1"/>
    </xf>
    <xf numFmtId="0" fontId="26" fillId="0" borderId="20" xfId="0" applyFont="1" applyBorder="1" applyAlignment="1" applyProtection="1">
      <alignment horizontal="center" wrapText="1"/>
      <protection hidden="1"/>
    </xf>
    <xf numFmtId="4" fontId="26" fillId="0" borderId="16" xfId="0" applyNumberFormat="1" applyFont="1" applyBorder="1" applyAlignment="1" applyProtection="1">
      <alignment horizontal="center" wrapText="1"/>
      <protection hidden="1"/>
    </xf>
    <xf numFmtId="4" fontId="26" fillId="0" borderId="19" xfId="0" applyNumberFormat="1" applyFont="1" applyBorder="1" applyAlignment="1" applyProtection="1">
      <alignment horizontal="center" wrapText="1"/>
      <protection hidden="1"/>
    </xf>
    <xf numFmtId="4" fontId="26" fillId="0" borderId="20" xfId="0" applyNumberFormat="1" applyFont="1" applyBorder="1" applyAlignment="1" applyProtection="1">
      <alignment horizontal="center" wrapText="1"/>
      <protection hidden="1"/>
    </xf>
    <xf numFmtId="4" fontId="26" fillId="0" borderId="16" xfId="0" applyNumberFormat="1" applyFont="1" applyBorder="1" applyAlignment="1" applyProtection="1">
      <alignment horizontal="right" wrapText="1"/>
      <protection hidden="1"/>
    </xf>
    <xf numFmtId="4" fontId="26" fillId="0" borderId="19" xfId="0" applyNumberFormat="1" applyFont="1" applyBorder="1" applyAlignment="1" applyProtection="1">
      <alignment horizontal="right" wrapText="1"/>
      <protection hidden="1"/>
    </xf>
    <xf numFmtId="4" fontId="26" fillId="0" borderId="20" xfId="0" applyNumberFormat="1" applyFont="1" applyBorder="1" applyAlignment="1" applyProtection="1">
      <alignment horizontal="right" wrapText="1"/>
      <protection hidden="1"/>
    </xf>
    <xf numFmtId="4" fontId="27" fillId="0" borderId="16" xfId="0" applyNumberFormat="1" applyFont="1" applyFill="1" applyBorder="1" applyAlignment="1">
      <alignment horizontal="right" wrapText="1"/>
    </xf>
    <xf numFmtId="4" fontId="27" fillId="0" borderId="19" xfId="0" applyNumberFormat="1" applyFont="1" applyFill="1" applyBorder="1" applyAlignment="1">
      <alignment horizontal="right" wrapText="1"/>
    </xf>
    <xf numFmtId="4" fontId="27" fillId="0" borderId="20" xfId="0" applyNumberFormat="1" applyFont="1" applyFill="1" applyBorder="1" applyAlignment="1">
      <alignment horizontal="right" wrapText="1"/>
    </xf>
    <xf numFmtId="0" fontId="26" fillId="0" borderId="3"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16" xfId="0" applyFont="1" applyBorder="1" applyAlignment="1">
      <alignment horizontal="center" wrapText="1"/>
    </xf>
    <xf numFmtId="0" fontId="26" fillId="0" borderId="20" xfId="0" applyFont="1" applyBorder="1" applyAlignment="1">
      <alignment horizontal="center" wrapText="1"/>
    </xf>
    <xf numFmtId="4" fontId="26" fillId="0" borderId="16" xfId="0" applyNumberFormat="1" applyFont="1" applyBorder="1" applyAlignment="1">
      <alignment horizontal="center" wrapText="1"/>
    </xf>
    <xf numFmtId="4" fontId="26" fillId="0" borderId="20" xfId="0" applyNumberFormat="1" applyFont="1" applyBorder="1" applyAlignment="1">
      <alignment horizontal="center" wrapText="1"/>
    </xf>
    <xf numFmtId="4" fontId="26" fillId="0" borderId="16" xfId="5" applyNumberFormat="1" applyFont="1" applyBorder="1" applyAlignment="1">
      <alignment horizontal="right" wrapText="1"/>
    </xf>
    <xf numFmtId="4" fontId="26" fillId="0" borderId="20" xfId="5" applyNumberFormat="1" applyFont="1" applyBorder="1" applyAlignment="1">
      <alignment horizontal="right" wrapText="1"/>
    </xf>
    <xf numFmtId="0" fontId="26" fillId="0" borderId="7" xfId="4" applyNumberFormat="1" applyFont="1" applyBorder="1" applyAlignment="1">
      <alignment horizontal="center" vertical="top" wrapText="1"/>
    </xf>
    <xf numFmtId="4" fontId="26" fillId="0" borderId="16" xfId="14" applyNumberFormat="1" applyFont="1" applyBorder="1" applyAlignment="1">
      <alignment horizontal="right" vertical="center" wrapText="1"/>
    </xf>
    <xf numFmtId="4" fontId="26" fillId="0" borderId="20" xfId="14" applyNumberFormat="1" applyFont="1" applyBorder="1" applyAlignment="1">
      <alignment horizontal="right" vertical="center" wrapText="1"/>
    </xf>
    <xf numFmtId="4" fontId="27" fillId="0" borderId="16" xfId="0" applyNumberFormat="1" applyFont="1" applyFill="1" applyBorder="1" applyAlignment="1">
      <alignment horizontal="right" vertical="center" wrapText="1"/>
    </xf>
    <xf numFmtId="4" fontId="27" fillId="0" borderId="20" xfId="0" applyNumberFormat="1" applyFont="1" applyFill="1" applyBorder="1" applyAlignment="1">
      <alignment horizontal="right" vertical="center" wrapText="1"/>
    </xf>
    <xf numFmtId="0" fontId="26" fillId="0" borderId="3" xfId="14" applyFont="1" applyBorder="1" applyAlignment="1">
      <alignment horizontal="center" vertical="center" wrapText="1"/>
    </xf>
    <xf numFmtId="0" fontId="26" fillId="0" borderId="8" xfId="14" applyFont="1" applyBorder="1" applyAlignment="1">
      <alignment horizontal="center" vertical="center" wrapText="1"/>
    </xf>
    <xf numFmtId="0" fontId="26" fillId="0" borderId="5" xfId="14" applyFont="1" applyBorder="1" applyAlignment="1">
      <alignment horizontal="center" vertical="center" wrapText="1"/>
    </xf>
    <xf numFmtId="4" fontId="26" fillId="0" borderId="16" xfId="14" applyNumberFormat="1" applyFont="1" applyBorder="1" applyAlignment="1">
      <alignment horizontal="right" wrapText="1"/>
    </xf>
    <xf numFmtId="4" fontId="26" fillId="0" borderId="19" xfId="14" applyNumberFormat="1" applyFont="1" applyBorder="1" applyAlignment="1">
      <alignment horizontal="right" wrapText="1"/>
    </xf>
    <xf numFmtId="4" fontId="26" fillId="0" borderId="20" xfId="14" applyNumberFormat="1" applyFont="1" applyBorder="1" applyAlignment="1">
      <alignment horizontal="right" wrapText="1"/>
    </xf>
    <xf numFmtId="0" fontId="26" fillId="0" borderId="3" xfId="14" applyFont="1" applyBorder="1" applyAlignment="1">
      <alignment horizontal="center" vertical="top" wrapText="1"/>
    </xf>
    <xf numFmtId="0" fontId="26" fillId="0" borderId="5" xfId="14" applyFont="1" applyBorder="1" applyAlignment="1">
      <alignment horizontal="center" vertical="top" wrapText="1"/>
    </xf>
    <xf numFmtId="0" fontId="26" fillId="0" borderId="8" xfId="14" applyFont="1" applyBorder="1" applyAlignment="1">
      <alignment horizontal="center" vertical="top" wrapText="1"/>
    </xf>
    <xf numFmtId="4" fontId="26" fillId="0" borderId="16" xfId="14" applyNumberFormat="1" applyFont="1" applyFill="1" applyBorder="1" applyAlignment="1">
      <alignment horizontal="center" wrapText="1"/>
    </xf>
    <xf numFmtId="4" fontId="26" fillId="0" borderId="19" xfId="14" applyNumberFormat="1" applyFont="1" applyFill="1" applyBorder="1" applyAlignment="1">
      <alignment horizontal="center" wrapText="1"/>
    </xf>
    <xf numFmtId="4" fontId="26" fillId="0" borderId="20" xfId="14" applyNumberFormat="1" applyFont="1" applyFill="1" applyBorder="1" applyAlignment="1">
      <alignment horizontal="center" wrapText="1"/>
    </xf>
    <xf numFmtId="0" fontId="26" fillId="0" borderId="16" xfId="14" applyFont="1" applyBorder="1" applyAlignment="1">
      <alignment horizontal="left" vertical="top" wrapText="1"/>
    </xf>
    <xf numFmtId="0" fontId="26" fillId="0" borderId="19" xfId="14" applyFont="1" applyBorder="1" applyAlignment="1">
      <alignment horizontal="left" vertical="top" wrapText="1"/>
    </xf>
    <xf numFmtId="0" fontId="26" fillId="0" borderId="20" xfId="14" applyFont="1" applyBorder="1" applyAlignment="1">
      <alignment horizontal="left" vertical="top" wrapText="1"/>
    </xf>
    <xf numFmtId="0" fontId="26" fillId="0" borderId="16" xfId="4" applyNumberFormat="1" applyFont="1" applyBorder="1" applyAlignment="1">
      <alignment horizontal="left" vertical="top" wrapText="1"/>
    </xf>
    <xf numFmtId="0" fontId="26" fillId="0" borderId="20" xfId="4" applyNumberFormat="1" applyFont="1" applyBorder="1" applyAlignment="1">
      <alignment horizontal="left" vertical="top" wrapText="1"/>
    </xf>
    <xf numFmtId="0" fontId="26" fillId="0" borderId="16" xfId="14" applyFont="1" applyBorder="1" applyAlignment="1">
      <alignment horizontal="center" vertical="center" wrapText="1"/>
    </xf>
    <xf numFmtId="0" fontId="26" fillId="0" borderId="19" xfId="14" applyFont="1" applyBorder="1" applyAlignment="1">
      <alignment horizontal="center" vertical="center" wrapText="1"/>
    </xf>
    <xf numFmtId="0" fontId="26" fillId="0" borderId="20" xfId="14" applyFont="1" applyBorder="1" applyAlignment="1">
      <alignment horizontal="center" vertical="center" wrapText="1"/>
    </xf>
  </cellXfs>
  <cellStyles count="19">
    <cellStyle name="Comma 2" xfId="1" xr:uid="{00000000-0005-0000-0000-000000000000}"/>
    <cellStyle name="merge" xfId="2" xr:uid="{00000000-0005-0000-0000-000001000000}"/>
    <cellStyle name="Normal" xfId="0" builtinId="0"/>
    <cellStyle name="Normal 14" xfId="3" xr:uid="{00000000-0005-0000-0000-000003000000}"/>
    <cellStyle name="Normal 2" xfId="4" xr:uid="{00000000-0005-0000-0000-000004000000}"/>
    <cellStyle name="Normal 2 2" xfId="5" xr:uid="{00000000-0005-0000-0000-000005000000}"/>
    <cellStyle name="Normal 3" xfId="6" xr:uid="{00000000-0005-0000-0000-000006000000}"/>
    <cellStyle name="Normal 3 2" xfId="7" xr:uid="{00000000-0005-0000-0000-000007000000}"/>
    <cellStyle name="Normal 3 2 2" xfId="8" xr:uid="{00000000-0005-0000-0000-000008000000}"/>
    <cellStyle name="Normal 3 2 3" xfId="9" xr:uid="{00000000-0005-0000-0000-000009000000}"/>
    <cellStyle name="Normal 4" xfId="10" xr:uid="{00000000-0005-0000-0000-00000A000000}"/>
    <cellStyle name="Normal_Troškovnik 24SATA_Troškovnik POSLOVNO 2" xfId="12" xr:uid="{00000000-0005-0000-0000-00000B000000}"/>
    <cellStyle name="Normal_Troškovnik Ergović 2" xfId="13" xr:uid="{00000000-0005-0000-0000-00000C000000}"/>
    <cellStyle name="Normal_Troškovnik Polanjščak 2" xfId="14" xr:uid="{00000000-0005-0000-0000-00000D000000}"/>
    <cellStyle name="Normal_Troškovnik Polanjščak 3" xfId="15" xr:uid="{00000000-0005-0000-0000-00000F000000}"/>
    <cellStyle name="Normal_TROSKOVNIK-revizija2 2 2" xfId="11" xr:uid="{00000000-0005-0000-0000-000010000000}"/>
    <cellStyle name="Note 2" xfId="16" xr:uid="{00000000-0005-0000-0000-000011000000}"/>
    <cellStyle name="Obično 2" xfId="17" xr:uid="{00000000-0005-0000-0000-000012000000}"/>
    <cellStyle name="Style 1" xfId="18"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342900</xdr:colOff>
      <xdr:row>22</xdr:row>
      <xdr:rowOff>99060</xdr:rowOff>
    </xdr:from>
    <xdr:to>
      <xdr:col>5</xdr:col>
      <xdr:colOff>472440</xdr:colOff>
      <xdr:row>27</xdr:row>
      <xdr:rowOff>60960</xdr:rowOff>
    </xdr:to>
    <xdr:pic>
      <xdr:nvPicPr>
        <xdr:cNvPr id="1374" name="Picture 1">
          <a:extLst>
            <a:ext uri="{FF2B5EF4-FFF2-40B4-BE49-F238E27FC236}">
              <a16:creationId xmlns:a16="http://schemas.microsoft.com/office/drawing/2014/main" id="{B71BF0F6-B33E-495E-A85B-305C66235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7340" y="4457700"/>
          <a:ext cx="222504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121"/>
  <sheetViews>
    <sheetView tabSelected="1" view="pageBreakPreview" topLeftCell="A4" zoomScaleNormal="120" zoomScaleSheetLayoutView="100" workbookViewId="0">
      <selection activeCell="D11" sqref="D11"/>
    </sheetView>
  </sheetViews>
  <sheetFormatPr defaultRowHeight="15"/>
  <cols>
    <col min="1" max="1" width="4.77734375" style="5" customWidth="1"/>
    <col min="2" max="2" width="13.21875" style="5" customWidth="1"/>
    <col min="3" max="3" width="9.21875" style="5" customWidth="1"/>
    <col min="4" max="4" width="8.5546875" style="5" customWidth="1"/>
    <col min="5" max="5" width="12.77734375" style="5" customWidth="1"/>
    <col min="6" max="6" width="10.77734375" style="5" customWidth="1"/>
    <col min="7" max="7" width="9.77734375" style="5" customWidth="1"/>
    <col min="8" max="8" width="7.21875" style="5" customWidth="1"/>
    <col min="9" max="9" width="3.5546875" style="5" customWidth="1"/>
    <col min="10" max="10" width="4.77734375" style="5" customWidth="1"/>
    <col min="11" max="11" width="9.21875" style="5" customWidth="1"/>
  </cols>
  <sheetData>
    <row r="1" spans="1:10" ht="15.6">
      <c r="A1" s="6"/>
      <c r="B1" s="7"/>
      <c r="C1" s="7"/>
      <c r="D1" s="7"/>
      <c r="E1" s="7"/>
      <c r="F1" s="7"/>
      <c r="G1" s="7"/>
      <c r="H1" s="7"/>
      <c r="I1" s="7"/>
      <c r="J1" s="8"/>
    </row>
    <row r="2" spans="1:10" ht="15.6">
      <c r="A2" s="9"/>
      <c r="B2" s="315" t="s">
        <v>19</v>
      </c>
      <c r="C2" s="316"/>
      <c r="D2" s="316"/>
      <c r="E2" s="316"/>
      <c r="F2" s="316"/>
      <c r="G2" s="316"/>
      <c r="H2" s="316"/>
      <c r="I2" s="317"/>
      <c r="J2" s="10"/>
    </row>
    <row r="3" spans="1:10" ht="15.6">
      <c r="A3" s="9"/>
      <c r="B3" s="318" t="s">
        <v>20</v>
      </c>
      <c r="C3" s="319"/>
      <c r="D3" s="319"/>
      <c r="E3" s="319"/>
      <c r="F3" s="319"/>
      <c r="G3" s="319"/>
      <c r="H3" s="319"/>
      <c r="I3" s="320"/>
      <c r="J3" s="10"/>
    </row>
    <row r="4" spans="1:10" ht="15.6">
      <c r="A4" s="9"/>
      <c r="B4" s="321" t="s">
        <v>21</v>
      </c>
      <c r="C4" s="322"/>
      <c r="D4" s="322"/>
      <c r="E4" s="322"/>
      <c r="F4" s="322"/>
      <c r="G4" s="322"/>
      <c r="H4" s="322"/>
      <c r="I4" s="323"/>
      <c r="J4" s="10"/>
    </row>
    <row r="5" spans="1:10" ht="15.6">
      <c r="A5" s="9"/>
      <c r="B5" s="11"/>
      <c r="C5" s="11"/>
      <c r="D5" s="11"/>
      <c r="E5" s="11"/>
      <c r="F5" s="11"/>
      <c r="G5" s="11"/>
      <c r="H5" s="11"/>
      <c r="I5" s="11"/>
      <c r="J5" s="10"/>
    </row>
    <row r="6" spans="1:10" ht="15.6">
      <c r="A6" s="9"/>
      <c r="B6" s="295" t="s">
        <v>22</v>
      </c>
      <c r="C6" s="296"/>
      <c r="D6" s="300" t="s">
        <v>60</v>
      </c>
      <c r="E6" s="300"/>
      <c r="F6" s="300"/>
      <c r="G6" s="300"/>
      <c r="H6" s="300"/>
      <c r="I6" s="301"/>
      <c r="J6" s="10"/>
    </row>
    <row r="7" spans="1:10" ht="15.6">
      <c r="A7" s="9"/>
      <c r="B7" s="324" t="s">
        <v>23</v>
      </c>
      <c r="C7" s="325"/>
      <c r="D7" s="302">
        <v>3</v>
      </c>
      <c r="E7" s="302"/>
      <c r="F7" s="302"/>
      <c r="G7" s="302"/>
      <c r="H7" s="302"/>
      <c r="I7" s="303"/>
      <c r="J7" s="10"/>
    </row>
    <row r="8" spans="1:10" ht="15.6">
      <c r="A8" s="9"/>
      <c r="B8" s="13"/>
      <c r="C8" s="13"/>
      <c r="D8" s="13" t="s">
        <v>13</v>
      </c>
      <c r="E8" s="13"/>
      <c r="F8" s="13"/>
      <c r="G8" s="13"/>
      <c r="H8" s="13"/>
      <c r="I8" s="13"/>
      <c r="J8" s="10"/>
    </row>
    <row r="9" spans="1:10" ht="15.6">
      <c r="A9" s="9"/>
      <c r="B9" s="295" t="s">
        <v>24</v>
      </c>
      <c r="C9" s="296"/>
      <c r="D9" s="292" t="s">
        <v>61</v>
      </c>
      <c r="E9" s="307"/>
      <c r="F9" s="307"/>
      <c r="G9" s="307"/>
      <c r="H9" s="307"/>
      <c r="I9" s="308"/>
      <c r="J9" s="10"/>
    </row>
    <row r="10" spans="1:10" ht="15.6">
      <c r="A10" s="9"/>
      <c r="B10" s="14"/>
      <c r="C10" s="12"/>
      <c r="D10" s="304" t="s">
        <v>283</v>
      </c>
      <c r="E10" s="305"/>
      <c r="F10" s="305"/>
      <c r="G10" s="305"/>
      <c r="H10" s="305"/>
      <c r="I10" s="306"/>
      <c r="J10" s="10"/>
    </row>
    <row r="11" spans="1:10" ht="15.6">
      <c r="A11" s="9"/>
      <c r="B11" s="13"/>
      <c r="C11" s="13"/>
      <c r="D11" s="13"/>
      <c r="E11" s="13"/>
      <c r="F11" s="13"/>
      <c r="G11" s="13"/>
      <c r="H11" s="13"/>
      <c r="I11" s="13"/>
      <c r="J11" s="10"/>
    </row>
    <row r="12" spans="1:10" ht="15.6">
      <c r="A12" s="9"/>
      <c r="B12" s="295" t="s">
        <v>25</v>
      </c>
      <c r="C12" s="296"/>
      <c r="D12" s="292" t="s">
        <v>62</v>
      </c>
      <c r="E12" s="293"/>
      <c r="F12" s="293"/>
      <c r="G12" s="293"/>
      <c r="H12" s="293"/>
      <c r="I12" s="294"/>
      <c r="J12" s="10"/>
    </row>
    <row r="13" spans="1:10" ht="15.6">
      <c r="A13" s="9"/>
      <c r="B13" s="15"/>
      <c r="C13" s="16"/>
      <c r="D13" s="298"/>
      <c r="E13" s="298"/>
      <c r="F13" s="298"/>
      <c r="G13" s="298"/>
      <c r="H13" s="298"/>
      <c r="I13" s="299"/>
      <c r="J13" s="10"/>
    </row>
    <row r="14" spans="1:10" ht="15.6">
      <c r="A14" s="9"/>
      <c r="B14" s="13"/>
      <c r="C14" s="13"/>
      <c r="D14" s="81"/>
      <c r="E14" s="81"/>
      <c r="F14" s="81"/>
      <c r="G14" s="81"/>
      <c r="H14" s="81"/>
      <c r="I14" s="81"/>
      <c r="J14" s="10"/>
    </row>
    <row r="15" spans="1:10" ht="15.6">
      <c r="A15" s="9"/>
      <c r="B15" s="295" t="s">
        <v>26</v>
      </c>
      <c r="C15" s="296"/>
      <c r="D15" s="300" t="s">
        <v>63</v>
      </c>
      <c r="E15" s="300"/>
      <c r="F15" s="300"/>
      <c r="G15" s="300"/>
      <c r="H15" s="300"/>
      <c r="I15" s="301"/>
      <c r="J15" s="10"/>
    </row>
    <row r="16" spans="1:10" ht="15.6">
      <c r="A16" s="9"/>
      <c r="B16" s="15"/>
      <c r="C16" s="16"/>
      <c r="D16" s="302" t="s">
        <v>64</v>
      </c>
      <c r="E16" s="302"/>
      <c r="F16" s="302"/>
      <c r="G16" s="302"/>
      <c r="H16" s="302"/>
      <c r="I16" s="303"/>
      <c r="J16" s="10"/>
    </row>
    <row r="17" spans="1:10" ht="15.6">
      <c r="A17" s="9"/>
      <c r="B17" s="13"/>
      <c r="C17" s="13"/>
      <c r="D17" s="81"/>
      <c r="E17" s="81"/>
      <c r="F17" s="81"/>
      <c r="G17" s="81"/>
      <c r="H17" s="81"/>
      <c r="I17" s="81"/>
      <c r="J17" s="10"/>
    </row>
    <row r="18" spans="1:10" ht="15.6">
      <c r="A18" s="9"/>
      <c r="B18" s="17"/>
      <c r="C18" s="297" t="s">
        <v>13</v>
      </c>
      <c r="D18" s="297"/>
      <c r="E18" s="297"/>
      <c r="F18" s="297"/>
      <c r="G18" s="297"/>
      <c r="H18" s="297"/>
      <c r="I18" s="18"/>
      <c r="J18" s="10"/>
    </row>
    <row r="19" spans="1:10" ht="15.6">
      <c r="A19" s="9"/>
      <c r="B19" s="309" t="s">
        <v>65</v>
      </c>
      <c r="C19" s="310"/>
      <c r="D19" s="310"/>
      <c r="E19" s="310"/>
      <c r="F19" s="310"/>
      <c r="G19" s="310"/>
      <c r="H19" s="310"/>
      <c r="I19" s="311"/>
      <c r="J19" s="10"/>
    </row>
    <row r="20" spans="1:10" ht="15.6">
      <c r="A20" s="9"/>
      <c r="B20" s="309" t="s">
        <v>66</v>
      </c>
      <c r="C20" s="310"/>
      <c r="D20" s="310"/>
      <c r="E20" s="310"/>
      <c r="F20" s="310"/>
      <c r="G20" s="310"/>
      <c r="H20" s="310"/>
      <c r="I20" s="311"/>
      <c r="J20" s="10"/>
    </row>
    <row r="21" spans="1:10" ht="15.6">
      <c r="A21" s="9"/>
      <c r="B21" s="309"/>
      <c r="C21" s="310"/>
      <c r="D21" s="310"/>
      <c r="E21" s="310"/>
      <c r="F21" s="310"/>
      <c r="G21" s="310"/>
      <c r="H21" s="310"/>
      <c r="I21" s="311"/>
      <c r="J21" s="10"/>
    </row>
    <row r="22" spans="1:10" ht="15.6">
      <c r="A22" s="9"/>
      <c r="B22" s="312"/>
      <c r="C22" s="313"/>
      <c r="D22" s="313"/>
      <c r="E22" s="313"/>
      <c r="F22" s="313"/>
      <c r="G22" s="313"/>
      <c r="H22" s="313"/>
      <c r="I22" s="314"/>
      <c r="J22" s="10"/>
    </row>
    <row r="23" spans="1:10" ht="15.6">
      <c r="A23" s="9"/>
      <c r="B23" s="11"/>
      <c r="C23" s="11"/>
      <c r="D23" s="11"/>
      <c r="E23" s="11"/>
      <c r="F23" s="11"/>
      <c r="G23" s="11"/>
      <c r="H23" s="11"/>
      <c r="I23" s="11"/>
      <c r="J23" s="10"/>
    </row>
    <row r="24" spans="1:10" ht="15.6">
      <c r="A24" s="9"/>
      <c r="B24" s="11"/>
      <c r="C24" s="11"/>
      <c r="D24" s="11"/>
      <c r="E24" s="11"/>
      <c r="F24" s="11"/>
      <c r="G24" s="11"/>
      <c r="H24" s="11"/>
      <c r="I24" s="11"/>
      <c r="J24" s="10"/>
    </row>
    <row r="25" spans="1:10" ht="15.6">
      <c r="A25" s="9"/>
      <c r="B25" s="11"/>
      <c r="C25" s="11"/>
      <c r="D25" s="11"/>
      <c r="E25" s="11"/>
      <c r="F25" s="11"/>
      <c r="G25" s="11"/>
      <c r="H25" s="11"/>
      <c r="I25" s="11"/>
      <c r="J25" s="10"/>
    </row>
    <row r="26" spans="1:10" ht="15.6">
      <c r="A26" s="9"/>
      <c r="B26" s="11"/>
      <c r="C26" s="11"/>
      <c r="D26" s="11"/>
      <c r="E26" s="11"/>
      <c r="F26" s="11"/>
      <c r="G26" s="11"/>
      <c r="H26" s="11"/>
      <c r="I26" s="11"/>
      <c r="J26" s="10"/>
    </row>
    <row r="27" spans="1:10" ht="15.6">
      <c r="A27" s="9"/>
      <c r="B27" s="11"/>
      <c r="C27" s="11"/>
      <c r="D27" s="11"/>
      <c r="E27" s="11"/>
      <c r="F27" s="11"/>
      <c r="G27" s="11"/>
      <c r="H27" s="11"/>
      <c r="I27" s="11"/>
      <c r="J27" s="10"/>
    </row>
    <row r="28" spans="1:10" ht="17.100000000000001" customHeight="1">
      <c r="A28" s="9"/>
      <c r="B28" s="11"/>
      <c r="C28" s="11"/>
      <c r="D28" s="11"/>
      <c r="E28" s="11"/>
      <c r="F28" s="11"/>
      <c r="G28" s="11"/>
      <c r="H28" s="11"/>
      <c r="I28" s="11"/>
      <c r="J28" s="10"/>
    </row>
    <row r="29" spans="1:10" ht="15.6">
      <c r="A29" s="9"/>
      <c r="B29" s="19" t="s">
        <v>27</v>
      </c>
      <c r="C29" s="20"/>
      <c r="D29" s="288" t="s">
        <v>67</v>
      </c>
      <c r="E29" s="288"/>
      <c r="F29" s="288"/>
      <c r="G29" s="288"/>
      <c r="H29" s="288"/>
      <c r="I29" s="289"/>
      <c r="J29" s="10"/>
    </row>
    <row r="30" spans="1:10" ht="15.6">
      <c r="A30" s="9"/>
      <c r="B30" s="22"/>
      <c r="C30" s="23"/>
      <c r="D30" s="24" t="s">
        <v>28</v>
      </c>
      <c r="E30" s="25"/>
      <c r="F30" s="25"/>
      <c r="G30" s="24" t="s">
        <v>29</v>
      </c>
      <c r="H30" s="25"/>
      <c r="I30" s="26"/>
      <c r="J30" s="10"/>
    </row>
    <row r="31" spans="1:10" ht="15.6">
      <c r="A31" s="9"/>
      <c r="B31" s="290"/>
      <c r="C31" s="291"/>
      <c r="D31" s="291"/>
      <c r="E31" s="291"/>
      <c r="F31" s="25"/>
      <c r="G31" s="25"/>
      <c r="H31" s="25"/>
      <c r="I31" s="26"/>
      <c r="J31" s="10"/>
    </row>
    <row r="32" spans="1:10" ht="15.6">
      <c r="A32" s="9"/>
      <c r="B32" s="27"/>
      <c r="C32" s="28"/>
      <c r="D32" s="28"/>
      <c r="E32" s="28"/>
      <c r="F32" s="28"/>
      <c r="G32" s="28"/>
      <c r="H32" s="28"/>
      <c r="I32" s="29"/>
      <c r="J32" s="10"/>
    </row>
    <row r="33" spans="1:13" ht="15.6">
      <c r="A33" s="9"/>
      <c r="B33" s="30"/>
      <c r="C33" s="30"/>
      <c r="D33" s="30"/>
      <c r="E33" s="30"/>
      <c r="F33" s="30"/>
      <c r="G33" s="30"/>
      <c r="H33" s="30"/>
      <c r="I33" s="30"/>
      <c r="J33" s="10"/>
    </row>
    <row r="34" spans="1:13" ht="15.6">
      <c r="A34" s="9"/>
      <c r="B34" s="19" t="s">
        <v>30</v>
      </c>
      <c r="C34" s="21" t="s">
        <v>37</v>
      </c>
      <c r="D34" s="288" t="s">
        <v>38</v>
      </c>
      <c r="E34" s="288"/>
      <c r="F34" s="288"/>
      <c r="G34" s="288"/>
      <c r="H34" s="288"/>
      <c r="I34" s="289"/>
      <c r="J34" s="10"/>
    </row>
    <row r="35" spans="1:13" ht="15.6">
      <c r="A35" s="9"/>
      <c r="B35" s="31"/>
      <c r="C35" s="32"/>
      <c r="D35" s="24" t="s">
        <v>28</v>
      </c>
      <c r="E35" s="32"/>
      <c r="F35" s="33"/>
      <c r="G35" s="24" t="s">
        <v>29</v>
      </c>
      <c r="H35" s="33"/>
      <c r="I35" s="34"/>
      <c r="J35" s="10"/>
    </row>
    <row r="36" spans="1:13" ht="15.6">
      <c r="A36" s="9"/>
      <c r="B36" s="31"/>
      <c r="C36" s="32"/>
      <c r="D36" s="32"/>
      <c r="E36" s="32"/>
      <c r="F36" s="33"/>
      <c r="G36" s="33"/>
      <c r="H36" s="33"/>
      <c r="I36" s="34"/>
      <c r="J36" s="10"/>
    </row>
    <row r="37" spans="1:13" ht="15.6">
      <c r="A37" s="9"/>
      <c r="B37" s="22" t="s">
        <v>39</v>
      </c>
      <c r="C37" s="23"/>
      <c r="D37" s="55" t="s">
        <v>68</v>
      </c>
      <c r="E37" s="23"/>
      <c r="F37" s="53"/>
      <c r="G37" s="53"/>
      <c r="H37" s="53"/>
      <c r="I37" s="54"/>
      <c r="J37" s="10"/>
    </row>
    <row r="38" spans="1:13" ht="15.6">
      <c r="A38" s="9"/>
      <c r="B38" s="35"/>
      <c r="C38" s="36"/>
      <c r="D38" s="37" t="s">
        <v>51</v>
      </c>
      <c r="E38" s="36"/>
      <c r="F38" s="36"/>
      <c r="G38" s="36"/>
      <c r="H38" s="36"/>
      <c r="I38" s="38"/>
      <c r="J38" s="10"/>
    </row>
    <row r="39" spans="1:13" ht="15.6">
      <c r="A39" s="9"/>
      <c r="B39" s="39"/>
      <c r="C39" s="39"/>
      <c r="D39" s="39"/>
      <c r="E39" s="39"/>
      <c r="F39" s="39"/>
      <c r="G39" s="39"/>
      <c r="H39" s="39"/>
      <c r="I39" s="39"/>
      <c r="J39" s="10"/>
    </row>
    <row r="40" spans="1:13" ht="15.6">
      <c r="A40" s="9"/>
      <c r="B40" s="19" t="s">
        <v>31</v>
      </c>
      <c r="C40" s="21"/>
      <c r="D40" s="288" t="s">
        <v>38</v>
      </c>
      <c r="E40" s="288"/>
      <c r="F40" s="288"/>
      <c r="G40" s="288"/>
      <c r="H40" s="288"/>
      <c r="I40" s="289"/>
      <c r="J40" s="10"/>
    </row>
    <row r="41" spans="1:13" ht="15.6">
      <c r="A41" s="9"/>
      <c r="B41" s="22"/>
      <c r="C41" s="23"/>
      <c r="D41" s="24" t="s">
        <v>28</v>
      </c>
      <c r="E41" s="25"/>
      <c r="F41" s="25"/>
      <c r="G41" s="24" t="s">
        <v>29</v>
      </c>
      <c r="H41" s="25"/>
      <c r="I41" s="26"/>
      <c r="J41" s="10"/>
    </row>
    <row r="42" spans="1:13" ht="15.6">
      <c r="A42" s="9"/>
      <c r="B42" s="22"/>
      <c r="C42" s="23"/>
      <c r="D42" s="25"/>
      <c r="E42" s="25"/>
      <c r="F42" s="25"/>
      <c r="G42" s="25"/>
      <c r="H42" s="25"/>
      <c r="I42" s="26"/>
      <c r="J42" s="10"/>
      <c r="M42" t="s">
        <v>32</v>
      </c>
    </row>
    <row r="43" spans="1:13" ht="15.6">
      <c r="A43" s="9"/>
      <c r="B43" s="27"/>
      <c r="C43" s="28"/>
      <c r="D43" s="28"/>
      <c r="E43" s="28"/>
      <c r="F43" s="28"/>
      <c r="G43" s="28"/>
      <c r="H43" s="28"/>
      <c r="I43" s="29"/>
      <c r="J43" s="10"/>
    </row>
    <row r="44" spans="1:13" ht="15.6">
      <c r="A44" s="9"/>
      <c r="B44" s="30"/>
      <c r="C44" s="30"/>
      <c r="D44" s="30"/>
      <c r="E44" s="30"/>
      <c r="F44" s="30"/>
      <c r="G44" s="30"/>
      <c r="H44" s="30"/>
      <c r="I44" s="30"/>
      <c r="J44" s="10"/>
    </row>
    <row r="45" spans="1:13" ht="15.6">
      <c r="A45" s="9"/>
      <c r="B45" s="40" t="s">
        <v>33</v>
      </c>
      <c r="C45" s="41" t="s">
        <v>53</v>
      </c>
      <c r="D45" s="82" t="s">
        <v>69</v>
      </c>
      <c r="E45" s="42"/>
      <c r="F45" s="42"/>
      <c r="G45" s="42"/>
      <c r="H45" s="42"/>
      <c r="I45" s="43"/>
      <c r="J45" s="10"/>
    </row>
    <row r="46" spans="1:13" ht="15.6">
      <c r="A46" s="9"/>
      <c r="B46" s="30"/>
      <c r="C46" s="30"/>
      <c r="D46" s="30"/>
      <c r="E46" s="30"/>
      <c r="F46" s="30"/>
      <c r="G46" s="30"/>
      <c r="H46" s="30"/>
      <c r="I46" s="30"/>
      <c r="J46" s="10"/>
    </row>
    <row r="47" spans="1:13" ht="15.6">
      <c r="A47" s="9"/>
      <c r="B47" s="44" t="s">
        <v>34</v>
      </c>
      <c r="C47" s="45"/>
      <c r="D47" s="45"/>
      <c r="E47" s="45"/>
      <c r="F47" s="45"/>
      <c r="G47" s="45"/>
      <c r="H47" s="45"/>
      <c r="I47" s="46"/>
      <c r="J47" s="10"/>
    </row>
    <row r="48" spans="1:13" ht="15.6">
      <c r="A48" s="9"/>
      <c r="B48" s="47" t="s">
        <v>35</v>
      </c>
      <c r="C48" s="48"/>
      <c r="D48" s="48"/>
      <c r="E48" s="48"/>
      <c r="F48" s="48"/>
      <c r="G48" s="48"/>
      <c r="H48" s="48"/>
      <c r="I48" s="49"/>
      <c r="J48" s="10"/>
    </row>
    <row r="49" spans="1:11" ht="15.6">
      <c r="A49" s="50"/>
      <c r="B49" s="51"/>
      <c r="C49" s="51"/>
      <c r="D49" s="51"/>
      <c r="E49" s="51"/>
      <c r="F49" s="51"/>
      <c r="G49" s="51"/>
      <c r="H49" s="51"/>
      <c r="I49" s="51"/>
      <c r="J49" s="52"/>
    </row>
    <row r="50" spans="1:11" ht="13.2">
      <c r="A50"/>
      <c r="B50"/>
      <c r="C50"/>
      <c r="D50"/>
      <c r="E50"/>
      <c r="F50"/>
      <c r="G50"/>
      <c r="H50"/>
      <c r="I50"/>
      <c r="J50"/>
      <c r="K50"/>
    </row>
    <row r="51" spans="1:11" ht="13.2">
      <c r="A51"/>
      <c r="B51"/>
      <c r="C51"/>
      <c r="D51"/>
      <c r="E51"/>
      <c r="F51"/>
      <c r="G51"/>
      <c r="H51"/>
      <c r="I51"/>
      <c r="J51"/>
      <c r="K51"/>
    </row>
    <row r="52" spans="1:11" ht="13.2">
      <c r="A52"/>
      <c r="B52"/>
      <c r="C52"/>
      <c r="D52"/>
      <c r="E52"/>
      <c r="F52"/>
      <c r="G52"/>
      <c r="H52"/>
      <c r="I52"/>
      <c r="J52"/>
      <c r="K52"/>
    </row>
    <row r="53" spans="1:11" ht="13.2">
      <c r="A53"/>
      <c r="B53"/>
      <c r="C53"/>
      <c r="D53"/>
      <c r="E53"/>
      <c r="F53"/>
      <c r="G53"/>
      <c r="H53"/>
      <c r="I53"/>
      <c r="J53"/>
      <c r="K53"/>
    </row>
    <row r="54" spans="1:11" ht="13.2">
      <c r="A54"/>
      <c r="B54"/>
      <c r="C54"/>
      <c r="D54"/>
      <c r="E54"/>
      <c r="F54"/>
      <c r="G54"/>
      <c r="H54"/>
      <c r="I54"/>
      <c r="J54"/>
      <c r="K54"/>
    </row>
    <row r="55" spans="1:11" ht="13.2">
      <c r="A55"/>
      <c r="B55"/>
      <c r="C55"/>
      <c r="D55"/>
      <c r="E55"/>
      <c r="F55"/>
      <c r="G55"/>
      <c r="H55"/>
      <c r="I55"/>
      <c r="J55"/>
      <c r="K55"/>
    </row>
    <row r="56" spans="1:11" ht="13.2">
      <c r="A56"/>
      <c r="B56"/>
      <c r="C56"/>
      <c r="D56"/>
      <c r="E56"/>
      <c r="F56"/>
      <c r="G56"/>
      <c r="H56"/>
      <c r="I56"/>
      <c r="J56"/>
      <c r="K56"/>
    </row>
    <row r="57" spans="1:11" ht="13.2">
      <c r="A57"/>
      <c r="B57"/>
      <c r="C57"/>
      <c r="D57"/>
      <c r="E57"/>
      <c r="F57"/>
      <c r="G57"/>
      <c r="H57"/>
      <c r="I57"/>
      <c r="J57"/>
      <c r="K57"/>
    </row>
    <row r="58" spans="1:11" ht="13.2">
      <c r="A58"/>
      <c r="B58"/>
      <c r="C58"/>
      <c r="D58"/>
      <c r="E58"/>
      <c r="F58"/>
      <c r="G58"/>
      <c r="H58"/>
      <c r="I58"/>
      <c r="J58"/>
      <c r="K58"/>
    </row>
    <row r="59" spans="1:11" ht="13.2">
      <c r="A59"/>
      <c r="B59"/>
      <c r="C59"/>
      <c r="D59"/>
      <c r="E59"/>
      <c r="F59"/>
      <c r="G59"/>
      <c r="H59"/>
      <c r="I59"/>
      <c r="J59"/>
      <c r="K59"/>
    </row>
    <row r="101" spans="1:11" ht="13.2">
      <c r="A101"/>
      <c r="B101"/>
      <c r="C101"/>
      <c r="D101"/>
      <c r="E101"/>
      <c r="F101"/>
      <c r="G101"/>
      <c r="H101"/>
      <c r="I101"/>
      <c r="J101"/>
      <c r="K101"/>
    </row>
    <row r="102" spans="1:11" ht="13.2">
      <c r="A102"/>
      <c r="B102"/>
      <c r="C102"/>
      <c r="D102"/>
      <c r="E102"/>
      <c r="F102"/>
      <c r="G102"/>
      <c r="H102"/>
      <c r="I102"/>
      <c r="J102"/>
      <c r="K102"/>
    </row>
    <row r="117" spans="1:10">
      <c r="A117" s="4"/>
      <c r="B117" s="4"/>
      <c r="C117" s="4"/>
      <c r="D117" s="4"/>
      <c r="E117" s="4"/>
      <c r="F117" s="4"/>
      <c r="G117" s="4"/>
      <c r="H117" s="4"/>
      <c r="I117" s="4"/>
      <c r="J117" s="4"/>
    </row>
    <row r="118" spans="1:10">
      <c r="A118" s="4"/>
      <c r="B118" s="4"/>
      <c r="C118" s="4"/>
      <c r="D118" s="4"/>
      <c r="E118" s="4"/>
      <c r="F118" s="4"/>
      <c r="G118" s="4"/>
      <c r="H118" s="4"/>
      <c r="I118" s="4"/>
      <c r="J118" s="4"/>
    </row>
    <row r="119" spans="1:10">
      <c r="A119" s="4"/>
      <c r="B119" s="4"/>
      <c r="C119" s="4"/>
      <c r="D119" s="4"/>
      <c r="E119" s="4"/>
      <c r="F119" s="4"/>
      <c r="G119" s="4"/>
      <c r="H119" s="4"/>
      <c r="I119" s="4"/>
      <c r="J119" s="4"/>
    </row>
    <row r="120" spans="1:10">
      <c r="A120" s="4"/>
      <c r="B120" s="4"/>
      <c r="C120" s="4"/>
      <c r="D120" s="4"/>
      <c r="E120" s="4"/>
      <c r="F120" s="4"/>
      <c r="G120" s="4"/>
      <c r="H120" s="4"/>
      <c r="I120" s="4"/>
      <c r="J120" s="4"/>
    </row>
    <row r="121" spans="1:10">
      <c r="A121" s="4"/>
      <c r="B121" s="4"/>
      <c r="C121" s="4"/>
      <c r="D121" s="4"/>
      <c r="E121" s="4"/>
      <c r="F121" s="4"/>
      <c r="G121" s="4"/>
      <c r="H121" s="4"/>
      <c r="I121" s="4"/>
      <c r="J121" s="4"/>
    </row>
  </sheetData>
  <mergeCells count="25">
    <mergeCell ref="B2:I2"/>
    <mergeCell ref="B3:I3"/>
    <mergeCell ref="B4:I4"/>
    <mergeCell ref="B6:C6"/>
    <mergeCell ref="B7:C7"/>
    <mergeCell ref="D6:I6"/>
    <mergeCell ref="D7:I7"/>
    <mergeCell ref="D10:I10"/>
    <mergeCell ref="B12:C12"/>
    <mergeCell ref="B9:C9"/>
    <mergeCell ref="D9:I9"/>
    <mergeCell ref="D34:I34"/>
    <mergeCell ref="B19:I19"/>
    <mergeCell ref="B20:I20"/>
    <mergeCell ref="B21:I21"/>
    <mergeCell ref="B22:I22"/>
    <mergeCell ref="D40:I40"/>
    <mergeCell ref="B31:E31"/>
    <mergeCell ref="D12:I12"/>
    <mergeCell ref="B15:C15"/>
    <mergeCell ref="C18:H18"/>
    <mergeCell ref="D13:I13"/>
    <mergeCell ref="D29:I29"/>
    <mergeCell ref="D15:I15"/>
    <mergeCell ref="D16:I16"/>
  </mergeCells>
  <phoneticPr fontId="0" type="noConversion"/>
  <pageMargins left="0.78740157480314965" right="0.78740157480314965" top="0.59055118110236227" bottom="0.59055118110236227" header="0.39370078740157483" footer="0.39370078740157483"/>
  <pageSetup paperSize="9" orientation="portrait" r:id="rId1"/>
  <headerFooter alignWithMargins="0"/>
  <customProperties>
    <customPr name="DVSECTION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6"/>
  <sheetViews>
    <sheetView showZeros="0" view="pageBreakPreview" zoomScaleNormal="120" zoomScaleSheetLayoutView="100" workbookViewId="0">
      <selection activeCell="B56" sqref="B56"/>
    </sheetView>
  </sheetViews>
  <sheetFormatPr defaultColWidth="9.21875" defaultRowHeight="13.2"/>
  <cols>
    <col min="1" max="1" width="7.21875" style="119" customWidth="1"/>
    <col min="2" max="2" width="45.77734375" style="120" customWidth="1"/>
    <col min="3" max="3" width="9.21875" style="121"/>
    <col min="4" max="4" width="8.44140625" style="122" customWidth="1"/>
    <col min="5" max="5" width="11.21875" style="122" customWidth="1"/>
    <col min="6" max="6" width="16.5546875" style="123" customWidth="1"/>
    <col min="7" max="7" width="9.21875" style="110"/>
    <col min="8" max="9" width="9.21875" style="110" hidden="1" customWidth="1"/>
    <col min="10" max="10" width="9.21875" style="110"/>
    <col min="11" max="16384" width="9.21875" style="111"/>
  </cols>
  <sheetData>
    <row r="1" spans="1:10" s="92" customFormat="1" ht="27.6">
      <c r="A1" s="88" t="s">
        <v>4</v>
      </c>
      <c r="B1" s="89" t="s">
        <v>5</v>
      </c>
      <c r="C1" s="89" t="s">
        <v>6</v>
      </c>
      <c r="D1" s="90" t="s">
        <v>7</v>
      </c>
      <c r="E1" s="90" t="s">
        <v>10</v>
      </c>
      <c r="F1" s="88" t="s">
        <v>4</v>
      </c>
      <c r="G1" s="91"/>
      <c r="H1" s="91"/>
      <c r="I1" s="91"/>
      <c r="J1" s="91"/>
    </row>
    <row r="2" spans="1:10" s="92" customFormat="1" ht="13.8" thickBot="1">
      <c r="A2" s="93"/>
      <c r="B2" s="94"/>
      <c r="C2" s="94"/>
      <c r="D2" s="95"/>
      <c r="E2" s="95"/>
      <c r="F2" s="93"/>
      <c r="G2" s="91"/>
      <c r="H2" s="91"/>
      <c r="I2" s="91"/>
      <c r="J2" s="91"/>
    </row>
    <row r="3" spans="1:10" s="102" customFormat="1" ht="30" customHeight="1" thickBot="1">
      <c r="A3" s="96" t="s">
        <v>70</v>
      </c>
      <c r="B3" s="97" t="s">
        <v>71</v>
      </c>
      <c r="C3" s="98"/>
      <c r="D3" s="99"/>
      <c r="E3" s="99"/>
      <c r="F3" s="100"/>
      <c r="G3" s="101"/>
      <c r="H3" s="101"/>
      <c r="I3" s="101"/>
      <c r="J3" s="101"/>
    </row>
    <row r="4" spans="1:10" s="102" customFormat="1" ht="15.6">
      <c r="A4" s="103"/>
      <c r="B4" s="104"/>
      <c r="C4" s="104"/>
      <c r="D4" s="105"/>
      <c r="E4" s="105"/>
      <c r="F4" s="103"/>
      <c r="G4" s="101"/>
      <c r="H4" s="101"/>
      <c r="I4" s="101"/>
      <c r="J4" s="101"/>
    </row>
    <row r="5" spans="1:10" ht="195" customHeight="1">
      <c r="A5" s="106" t="str">
        <f t="shared" ref="A5:A14" si="0">I5</f>
        <v>0.1</v>
      </c>
      <c r="B5" s="107" t="s">
        <v>72</v>
      </c>
      <c r="C5" s="108"/>
      <c r="D5" s="109"/>
      <c r="E5" s="109"/>
      <c r="F5" s="106">
        <f t="shared" ref="F5:F14" si="1">N5</f>
        <v>0</v>
      </c>
      <c r="H5" s="110">
        <f>IF(B5="","",1)</f>
        <v>1</v>
      </c>
      <c r="I5" s="110" t="str">
        <f>IF(H5="","",$A$3&amp;H5)</f>
        <v>0.1</v>
      </c>
    </row>
    <row r="6" spans="1:10" ht="81.75" customHeight="1">
      <c r="A6" s="106" t="str">
        <f t="shared" si="0"/>
        <v>0.2</v>
      </c>
      <c r="B6" s="107" t="s">
        <v>73</v>
      </c>
      <c r="C6" s="108"/>
      <c r="D6" s="109"/>
      <c r="E6" s="109"/>
      <c r="F6" s="106">
        <f t="shared" si="1"/>
        <v>0</v>
      </c>
      <c r="H6" s="112">
        <f t="shared" ref="H6:H31" si="2">IF(A5="",H5,H5+1)</f>
        <v>2</v>
      </c>
      <c r="I6" s="112" t="str">
        <f t="shared" ref="I6:I31" si="3">$A$3&amp;H6</f>
        <v>0.2</v>
      </c>
    </row>
    <row r="7" spans="1:10" ht="48.75" customHeight="1">
      <c r="A7" s="106" t="str">
        <f t="shared" si="0"/>
        <v>0.3</v>
      </c>
      <c r="B7" s="107" t="s">
        <v>74</v>
      </c>
      <c r="C7" s="108"/>
      <c r="D7" s="109"/>
      <c r="E7" s="109"/>
      <c r="F7" s="106">
        <f t="shared" si="1"/>
        <v>0</v>
      </c>
      <c r="H7" s="112">
        <f t="shared" si="2"/>
        <v>3</v>
      </c>
      <c r="I7" s="112" t="str">
        <f t="shared" si="3"/>
        <v>0.3</v>
      </c>
    </row>
    <row r="8" spans="1:10" ht="51.75" customHeight="1">
      <c r="A8" s="106" t="str">
        <f t="shared" si="0"/>
        <v>0.4</v>
      </c>
      <c r="B8" s="107" t="s">
        <v>75</v>
      </c>
      <c r="C8" s="108"/>
      <c r="D8" s="109"/>
      <c r="E8" s="109"/>
      <c r="F8" s="106">
        <f t="shared" si="1"/>
        <v>0</v>
      </c>
      <c r="H8" s="112">
        <f t="shared" si="2"/>
        <v>4</v>
      </c>
      <c r="I8" s="112" t="str">
        <f t="shared" si="3"/>
        <v>0.4</v>
      </c>
    </row>
    <row r="9" spans="1:10" ht="60" customHeight="1">
      <c r="A9" s="106" t="str">
        <f t="shared" si="0"/>
        <v>0.5</v>
      </c>
      <c r="B9" s="107" t="s">
        <v>76</v>
      </c>
      <c r="C9" s="108"/>
      <c r="D9" s="109"/>
      <c r="E9" s="109"/>
      <c r="F9" s="106">
        <f t="shared" si="1"/>
        <v>0</v>
      </c>
      <c r="H9" s="112">
        <f t="shared" si="2"/>
        <v>5</v>
      </c>
      <c r="I9" s="112" t="str">
        <f t="shared" si="3"/>
        <v>0.5</v>
      </c>
    </row>
    <row r="10" spans="1:10" ht="37.5" customHeight="1">
      <c r="A10" s="106" t="str">
        <f t="shared" si="0"/>
        <v>0.6</v>
      </c>
      <c r="B10" s="107" t="s">
        <v>77</v>
      </c>
      <c r="C10" s="108"/>
      <c r="D10" s="109"/>
      <c r="E10" s="109"/>
      <c r="F10" s="106">
        <f t="shared" si="1"/>
        <v>0</v>
      </c>
      <c r="H10" s="112">
        <f t="shared" si="2"/>
        <v>6</v>
      </c>
      <c r="I10" s="112" t="str">
        <f t="shared" si="3"/>
        <v>0.6</v>
      </c>
    </row>
    <row r="11" spans="1:10" ht="46.5" customHeight="1">
      <c r="A11" s="106" t="str">
        <f t="shared" si="0"/>
        <v>0.7</v>
      </c>
      <c r="B11" s="107" t="s">
        <v>78</v>
      </c>
      <c r="C11" s="108"/>
      <c r="D11" s="109"/>
      <c r="E11" s="109"/>
      <c r="F11" s="106">
        <f t="shared" si="1"/>
        <v>0</v>
      </c>
      <c r="H11" s="112">
        <f t="shared" si="2"/>
        <v>7</v>
      </c>
      <c r="I11" s="112" t="str">
        <f t="shared" si="3"/>
        <v>0.7</v>
      </c>
    </row>
    <row r="12" spans="1:10" ht="44.25" customHeight="1">
      <c r="A12" s="106" t="str">
        <f t="shared" si="0"/>
        <v>0.8</v>
      </c>
      <c r="B12" s="107" t="s">
        <v>79</v>
      </c>
      <c r="C12" s="108"/>
      <c r="D12" s="109"/>
      <c r="E12" s="109"/>
      <c r="F12" s="106">
        <f t="shared" si="1"/>
        <v>0</v>
      </c>
      <c r="H12" s="112">
        <f t="shared" si="2"/>
        <v>8</v>
      </c>
      <c r="I12" s="112" t="str">
        <f t="shared" si="3"/>
        <v>0.8</v>
      </c>
    </row>
    <row r="13" spans="1:10" ht="81" customHeight="1">
      <c r="A13" s="106" t="str">
        <f t="shared" si="0"/>
        <v>0.9</v>
      </c>
      <c r="B13" s="107" t="s">
        <v>80</v>
      </c>
      <c r="C13" s="108"/>
      <c r="D13" s="109"/>
      <c r="E13" s="109"/>
      <c r="F13" s="106">
        <f t="shared" si="1"/>
        <v>0</v>
      </c>
      <c r="H13" s="112">
        <f t="shared" si="2"/>
        <v>9</v>
      </c>
      <c r="I13" s="112" t="str">
        <f t="shared" si="3"/>
        <v>0.9</v>
      </c>
    </row>
    <row r="14" spans="1:10" ht="110.25" customHeight="1">
      <c r="A14" s="106" t="str">
        <f t="shared" si="0"/>
        <v>0.10</v>
      </c>
      <c r="B14" s="107" t="s">
        <v>81</v>
      </c>
      <c r="C14" s="108"/>
      <c r="D14" s="109"/>
      <c r="E14" s="109"/>
      <c r="F14" s="106">
        <f t="shared" si="1"/>
        <v>0</v>
      </c>
      <c r="H14" s="112">
        <f t="shared" si="2"/>
        <v>10</v>
      </c>
      <c r="I14" s="112" t="str">
        <f t="shared" si="3"/>
        <v>0.10</v>
      </c>
    </row>
    <row r="15" spans="1:10" ht="92.25" customHeight="1">
      <c r="A15" s="106"/>
      <c r="B15" s="107" t="s">
        <v>82</v>
      </c>
      <c r="C15" s="108"/>
      <c r="D15" s="109"/>
      <c r="E15" s="109"/>
      <c r="F15" s="106"/>
      <c r="H15" s="112">
        <f t="shared" si="2"/>
        <v>11</v>
      </c>
      <c r="I15" s="112" t="str">
        <f t="shared" si="3"/>
        <v>0.11</v>
      </c>
    </row>
    <row r="16" spans="1:10" ht="320.25" customHeight="1">
      <c r="A16" s="106" t="str">
        <f>I16</f>
        <v>0.11</v>
      </c>
      <c r="B16" s="107" t="s">
        <v>83</v>
      </c>
      <c r="C16" s="108"/>
      <c r="D16" s="109"/>
      <c r="E16" s="109"/>
      <c r="F16" s="106">
        <f>N16</f>
        <v>0</v>
      </c>
      <c r="H16" s="112">
        <f t="shared" si="2"/>
        <v>11</v>
      </c>
      <c r="I16" s="112" t="str">
        <f t="shared" si="3"/>
        <v>0.11</v>
      </c>
    </row>
    <row r="17" spans="1:9" ht="60.75" customHeight="1">
      <c r="A17" s="106" t="str">
        <f>I17</f>
        <v>0.12</v>
      </c>
      <c r="B17" s="113" t="s">
        <v>84</v>
      </c>
      <c r="C17" s="108"/>
      <c r="D17" s="109"/>
      <c r="E17" s="109"/>
      <c r="F17" s="106">
        <f>N17</f>
        <v>0</v>
      </c>
      <c r="H17" s="112">
        <f t="shared" si="2"/>
        <v>12</v>
      </c>
      <c r="I17" s="112" t="str">
        <f t="shared" si="3"/>
        <v>0.12</v>
      </c>
    </row>
    <row r="18" spans="1:9" ht="33" customHeight="1">
      <c r="A18" s="106"/>
      <c r="B18" s="113" t="s">
        <v>85</v>
      </c>
      <c r="C18" s="108"/>
      <c r="D18" s="109"/>
      <c r="E18" s="109"/>
      <c r="F18" s="106"/>
      <c r="H18" s="112">
        <f t="shared" si="2"/>
        <v>13</v>
      </c>
      <c r="I18" s="112" t="str">
        <f t="shared" si="3"/>
        <v>0.13</v>
      </c>
    </row>
    <row r="19" spans="1:9" ht="20.25" customHeight="1">
      <c r="A19" s="106"/>
      <c r="B19" s="114" t="s">
        <v>86</v>
      </c>
      <c r="C19" s="108"/>
      <c r="D19" s="109"/>
      <c r="E19" s="109"/>
      <c r="F19" s="106"/>
      <c r="H19" s="112">
        <f t="shared" si="2"/>
        <v>13</v>
      </c>
      <c r="I19" s="112" t="str">
        <f t="shared" si="3"/>
        <v>0.13</v>
      </c>
    </row>
    <row r="20" spans="1:9" ht="29.25" customHeight="1">
      <c r="A20" s="106"/>
      <c r="B20" s="114" t="s">
        <v>87</v>
      </c>
      <c r="C20" s="108"/>
      <c r="D20" s="109"/>
      <c r="E20" s="109"/>
      <c r="F20" s="106"/>
      <c r="H20" s="112">
        <f t="shared" si="2"/>
        <v>13</v>
      </c>
      <c r="I20" s="112" t="str">
        <f t="shared" si="3"/>
        <v>0.13</v>
      </c>
    </row>
    <row r="21" spans="1:9" ht="33.75" customHeight="1">
      <c r="A21" s="106"/>
      <c r="B21" s="114" t="s">
        <v>88</v>
      </c>
      <c r="C21" s="108"/>
      <c r="D21" s="109"/>
      <c r="E21" s="109"/>
      <c r="F21" s="106"/>
      <c r="H21" s="112">
        <f t="shared" si="2"/>
        <v>13</v>
      </c>
      <c r="I21" s="112" t="str">
        <f t="shared" si="3"/>
        <v>0.13</v>
      </c>
    </row>
    <row r="22" spans="1:9" ht="30.75" customHeight="1">
      <c r="A22" s="106"/>
      <c r="B22" s="114" t="s">
        <v>89</v>
      </c>
      <c r="C22" s="108"/>
      <c r="D22" s="109"/>
      <c r="E22" s="109"/>
      <c r="F22" s="106"/>
      <c r="H22" s="112">
        <f t="shared" si="2"/>
        <v>13</v>
      </c>
      <c r="I22" s="112" t="str">
        <f t="shared" si="3"/>
        <v>0.13</v>
      </c>
    </row>
    <row r="23" spans="1:9" ht="36" customHeight="1">
      <c r="A23" s="106"/>
      <c r="B23" s="114" t="s">
        <v>90</v>
      </c>
      <c r="C23" s="108"/>
      <c r="D23" s="109"/>
      <c r="E23" s="109"/>
      <c r="F23" s="106"/>
      <c r="H23" s="112">
        <f t="shared" si="2"/>
        <v>13</v>
      </c>
      <c r="I23" s="112" t="str">
        <f t="shared" si="3"/>
        <v>0.13</v>
      </c>
    </row>
    <row r="24" spans="1:9" ht="28.5" customHeight="1">
      <c r="A24" s="106"/>
      <c r="B24" s="114" t="s">
        <v>91</v>
      </c>
      <c r="C24" s="108"/>
      <c r="D24" s="109"/>
      <c r="E24" s="109"/>
      <c r="F24" s="106"/>
      <c r="H24" s="112">
        <f t="shared" si="2"/>
        <v>13</v>
      </c>
      <c r="I24" s="112" t="str">
        <f t="shared" si="3"/>
        <v>0.13</v>
      </c>
    </row>
    <row r="25" spans="1:9" ht="198" customHeight="1">
      <c r="A25" s="106" t="str">
        <f>I25</f>
        <v>0.13</v>
      </c>
      <c r="B25" s="114" t="s">
        <v>92</v>
      </c>
      <c r="C25" s="108"/>
      <c r="D25" s="109"/>
      <c r="E25" s="109"/>
      <c r="F25" s="106">
        <f>N25</f>
        <v>0</v>
      </c>
      <c r="H25" s="112">
        <f t="shared" si="2"/>
        <v>13</v>
      </c>
      <c r="I25" s="112" t="str">
        <f t="shared" si="3"/>
        <v>0.13</v>
      </c>
    </row>
    <row r="26" spans="1:9" ht="107.25" customHeight="1">
      <c r="A26" s="106" t="str">
        <f>I26</f>
        <v>0.14</v>
      </c>
      <c r="B26" s="107" t="s">
        <v>93</v>
      </c>
      <c r="C26" s="108"/>
      <c r="D26" s="109"/>
      <c r="E26" s="109"/>
      <c r="F26" s="106">
        <f>N26</f>
        <v>0</v>
      </c>
      <c r="H26" s="112">
        <f t="shared" si="2"/>
        <v>14</v>
      </c>
      <c r="I26" s="112" t="str">
        <f t="shared" si="3"/>
        <v>0.14</v>
      </c>
    </row>
    <row r="27" spans="1:9" ht="122.25" customHeight="1">
      <c r="A27" s="106" t="str">
        <f>I27</f>
        <v>0.15</v>
      </c>
      <c r="B27" s="107" t="s">
        <v>94</v>
      </c>
      <c r="C27" s="108"/>
      <c r="D27" s="109"/>
      <c r="E27" s="109"/>
      <c r="F27" s="106">
        <f>N27</f>
        <v>0</v>
      </c>
      <c r="H27" s="112">
        <f t="shared" si="2"/>
        <v>15</v>
      </c>
      <c r="I27" s="112" t="str">
        <f t="shared" si="3"/>
        <v>0.15</v>
      </c>
    </row>
    <row r="28" spans="1:9" ht="142.5" customHeight="1">
      <c r="A28" s="106" t="str">
        <f>I28</f>
        <v>0.16</v>
      </c>
      <c r="B28" s="107" t="s">
        <v>95</v>
      </c>
      <c r="C28" s="108"/>
      <c r="D28" s="109"/>
      <c r="E28" s="109"/>
      <c r="F28" s="106">
        <f>N28</f>
        <v>0</v>
      </c>
      <c r="H28" s="112">
        <f t="shared" si="2"/>
        <v>16</v>
      </c>
      <c r="I28" s="112" t="str">
        <f t="shared" si="3"/>
        <v>0.16</v>
      </c>
    </row>
    <row r="29" spans="1:9" ht="35.25" customHeight="1">
      <c r="A29" s="106" t="str">
        <f>I29</f>
        <v>0.17</v>
      </c>
      <c r="B29" s="107" t="s">
        <v>96</v>
      </c>
      <c r="C29" s="108"/>
      <c r="D29" s="109"/>
      <c r="E29" s="109"/>
      <c r="F29" s="106">
        <f>N29</f>
        <v>0</v>
      </c>
      <c r="H29" s="112">
        <f t="shared" si="2"/>
        <v>17</v>
      </c>
      <c r="I29" s="112" t="str">
        <f t="shared" si="3"/>
        <v>0.17</v>
      </c>
    </row>
    <row r="30" spans="1:9" ht="14.4">
      <c r="A30" s="106"/>
      <c r="B30" s="115" t="s">
        <v>97</v>
      </c>
      <c r="C30" s="108"/>
      <c r="D30" s="109"/>
      <c r="E30" s="109"/>
      <c r="F30" s="106"/>
      <c r="H30" s="112">
        <f t="shared" si="2"/>
        <v>18</v>
      </c>
      <c r="I30" s="112" t="str">
        <f t="shared" si="3"/>
        <v>0.18</v>
      </c>
    </row>
    <row r="31" spans="1:9" ht="14.4">
      <c r="A31" s="106"/>
      <c r="B31" s="115" t="s">
        <v>98</v>
      </c>
      <c r="C31" s="108"/>
      <c r="D31" s="109"/>
      <c r="E31" s="109"/>
      <c r="F31" s="106"/>
      <c r="H31" s="112">
        <f t="shared" si="2"/>
        <v>18</v>
      </c>
      <c r="I31" s="112" t="str">
        <f t="shared" si="3"/>
        <v>0.18</v>
      </c>
    </row>
    <row r="32" spans="1:9" ht="14.4">
      <c r="A32" s="106"/>
      <c r="B32" s="115" t="s">
        <v>99</v>
      </c>
      <c r="C32" s="108"/>
      <c r="D32" s="109"/>
      <c r="E32" s="109"/>
      <c r="F32" s="106"/>
      <c r="H32" s="112"/>
      <c r="I32" s="112"/>
    </row>
    <row r="33" spans="1:9" ht="48" customHeight="1">
      <c r="A33" s="106"/>
      <c r="B33" s="115" t="s">
        <v>100</v>
      </c>
      <c r="C33" s="108"/>
      <c r="D33" s="109"/>
      <c r="E33" s="109"/>
      <c r="F33" s="106"/>
      <c r="H33" s="112">
        <f>IF(A31="",H31,H31+1)</f>
        <v>18</v>
      </c>
      <c r="I33" s="112" t="str">
        <f t="shared" ref="I33:I56" si="4">$A$3&amp;H33</f>
        <v>0.18</v>
      </c>
    </row>
    <row r="34" spans="1:9" ht="121.5" customHeight="1">
      <c r="A34" s="106" t="str">
        <f t="shared" ref="A34:A44" si="5">I34</f>
        <v>0.18</v>
      </c>
      <c r="B34" s="107" t="s">
        <v>101</v>
      </c>
      <c r="C34" s="108"/>
      <c r="D34" s="109"/>
      <c r="E34" s="109"/>
      <c r="F34" s="106">
        <f t="shared" ref="F34:F44" si="6">N34</f>
        <v>0</v>
      </c>
      <c r="H34" s="112">
        <f>IF(A29="",H29,H29+1)</f>
        <v>18</v>
      </c>
      <c r="I34" s="112" t="str">
        <f t="shared" si="4"/>
        <v>0.18</v>
      </c>
    </row>
    <row r="35" spans="1:9" ht="43.2">
      <c r="A35" s="106" t="str">
        <f t="shared" si="5"/>
        <v>0.19</v>
      </c>
      <c r="B35" s="107" t="s">
        <v>102</v>
      </c>
      <c r="C35" s="108"/>
      <c r="D35" s="109"/>
      <c r="E35" s="109"/>
      <c r="F35" s="106">
        <f t="shared" si="6"/>
        <v>0</v>
      </c>
      <c r="H35" s="112">
        <f t="shared" ref="H35:H44" si="7">IF(A34="",H34,H34+1)</f>
        <v>19</v>
      </c>
      <c r="I35" s="112" t="str">
        <f t="shared" si="4"/>
        <v>0.19</v>
      </c>
    </row>
    <row r="36" spans="1:9" ht="115.2">
      <c r="A36" s="106" t="str">
        <f t="shared" si="5"/>
        <v>0.20</v>
      </c>
      <c r="B36" s="107" t="s">
        <v>103</v>
      </c>
      <c r="C36" s="108"/>
      <c r="D36" s="109"/>
      <c r="E36" s="109"/>
      <c r="F36" s="106">
        <f t="shared" si="6"/>
        <v>0</v>
      </c>
      <c r="H36" s="112">
        <f t="shared" si="7"/>
        <v>20</v>
      </c>
      <c r="I36" s="112" t="str">
        <f t="shared" si="4"/>
        <v>0.20</v>
      </c>
    </row>
    <row r="37" spans="1:9" ht="72">
      <c r="A37" s="106" t="str">
        <f t="shared" si="5"/>
        <v>0.21</v>
      </c>
      <c r="B37" s="107" t="s">
        <v>104</v>
      </c>
      <c r="C37" s="108"/>
      <c r="D37" s="109"/>
      <c r="E37" s="109"/>
      <c r="F37" s="106">
        <f t="shared" si="6"/>
        <v>0</v>
      </c>
      <c r="H37" s="112">
        <f t="shared" si="7"/>
        <v>21</v>
      </c>
      <c r="I37" s="112" t="str">
        <f t="shared" si="4"/>
        <v>0.21</v>
      </c>
    </row>
    <row r="38" spans="1:9" ht="115.2">
      <c r="A38" s="106" t="str">
        <f t="shared" si="5"/>
        <v>0.22</v>
      </c>
      <c r="B38" s="107" t="s">
        <v>105</v>
      </c>
      <c r="C38" s="108"/>
      <c r="D38" s="109"/>
      <c r="E38" s="109"/>
      <c r="F38" s="106">
        <f t="shared" si="6"/>
        <v>0</v>
      </c>
      <c r="H38" s="112">
        <f t="shared" si="7"/>
        <v>22</v>
      </c>
      <c r="I38" s="112" t="str">
        <f t="shared" si="4"/>
        <v>0.22</v>
      </c>
    </row>
    <row r="39" spans="1:9" ht="57.6">
      <c r="A39" s="106" t="str">
        <f t="shared" si="5"/>
        <v>0.23</v>
      </c>
      <c r="B39" s="107" t="s">
        <v>106</v>
      </c>
      <c r="C39" s="108"/>
      <c r="D39" s="109"/>
      <c r="E39" s="109"/>
      <c r="F39" s="106">
        <f t="shared" si="6"/>
        <v>0</v>
      </c>
      <c r="H39" s="112">
        <f t="shared" si="7"/>
        <v>23</v>
      </c>
      <c r="I39" s="112" t="str">
        <f t="shared" si="4"/>
        <v>0.23</v>
      </c>
    </row>
    <row r="40" spans="1:9" ht="75" customHeight="1">
      <c r="A40" s="106" t="str">
        <f t="shared" si="5"/>
        <v>0.24</v>
      </c>
      <c r="B40" s="107" t="s">
        <v>107</v>
      </c>
      <c r="C40" s="108"/>
      <c r="D40" s="109"/>
      <c r="E40" s="109"/>
      <c r="F40" s="106">
        <f t="shared" si="6"/>
        <v>0</v>
      </c>
      <c r="H40" s="112">
        <f t="shared" si="7"/>
        <v>24</v>
      </c>
      <c r="I40" s="112" t="str">
        <f t="shared" si="4"/>
        <v>0.24</v>
      </c>
    </row>
    <row r="41" spans="1:9" ht="50.25" customHeight="1">
      <c r="A41" s="106" t="str">
        <f t="shared" si="5"/>
        <v>0.25</v>
      </c>
      <c r="B41" s="107" t="s">
        <v>108</v>
      </c>
      <c r="C41" s="108"/>
      <c r="D41" s="109"/>
      <c r="E41" s="109"/>
      <c r="F41" s="106">
        <f t="shared" si="6"/>
        <v>0</v>
      </c>
      <c r="H41" s="112">
        <f t="shared" si="7"/>
        <v>25</v>
      </c>
      <c r="I41" s="112" t="str">
        <f t="shared" si="4"/>
        <v>0.25</v>
      </c>
    </row>
    <row r="42" spans="1:9" ht="132.75" customHeight="1">
      <c r="A42" s="106" t="str">
        <f t="shared" si="5"/>
        <v>0.26</v>
      </c>
      <c r="B42" s="107" t="s">
        <v>109</v>
      </c>
      <c r="C42" s="108"/>
      <c r="D42" s="109"/>
      <c r="E42" s="109"/>
      <c r="F42" s="106">
        <f t="shared" si="6"/>
        <v>0</v>
      </c>
      <c r="H42" s="112">
        <f t="shared" si="7"/>
        <v>26</v>
      </c>
      <c r="I42" s="112" t="str">
        <f t="shared" si="4"/>
        <v>0.26</v>
      </c>
    </row>
    <row r="43" spans="1:9" ht="110.25" customHeight="1">
      <c r="A43" s="106" t="str">
        <f t="shared" si="5"/>
        <v>0.27</v>
      </c>
      <c r="B43" s="107" t="s">
        <v>110</v>
      </c>
      <c r="C43" s="108"/>
      <c r="D43" s="109"/>
      <c r="E43" s="109"/>
      <c r="F43" s="106">
        <f t="shared" si="6"/>
        <v>0</v>
      </c>
      <c r="H43" s="112">
        <f t="shared" si="7"/>
        <v>27</v>
      </c>
      <c r="I43" s="112" t="str">
        <f t="shared" si="4"/>
        <v>0.27</v>
      </c>
    </row>
    <row r="44" spans="1:9" ht="46.5" customHeight="1">
      <c r="A44" s="106" t="str">
        <f t="shared" si="5"/>
        <v>0.28</v>
      </c>
      <c r="B44" s="107" t="s">
        <v>111</v>
      </c>
      <c r="C44" s="108"/>
      <c r="D44" s="109"/>
      <c r="E44" s="109"/>
      <c r="F44" s="106">
        <f t="shared" si="6"/>
        <v>0</v>
      </c>
      <c r="H44" s="112">
        <f t="shared" si="7"/>
        <v>28</v>
      </c>
      <c r="I44" s="112" t="str">
        <f t="shared" si="4"/>
        <v>0.28</v>
      </c>
    </row>
    <row r="45" spans="1:9" ht="24.75" customHeight="1">
      <c r="A45" s="116" t="s">
        <v>112</v>
      </c>
      <c r="B45" s="117" t="s">
        <v>113</v>
      </c>
      <c r="C45" s="108"/>
      <c r="D45" s="109"/>
      <c r="E45" s="109"/>
      <c r="F45" s="116"/>
      <c r="H45" s="112">
        <f>IF(A43="",H43,H43+1)</f>
        <v>28</v>
      </c>
      <c r="I45" s="112" t="str">
        <f>$A$3&amp;H45</f>
        <v>0.28</v>
      </c>
    </row>
    <row r="46" spans="1:9" ht="43.2">
      <c r="A46" s="116"/>
      <c r="B46" s="117" t="s">
        <v>114</v>
      </c>
      <c r="C46" s="108"/>
      <c r="D46" s="109"/>
      <c r="E46" s="109"/>
      <c r="F46" s="116"/>
      <c r="H46" s="112"/>
      <c r="I46" s="112"/>
    </row>
    <row r="47" spans="1:9" ht="28.8">
      <c r="A47" s="116"/>
      <c r="B47" s="117" t="s">
        <v>115</v>
      </c>
      <c r="C47" s="108"/>
      <c r="D47" s="109"/>
      <c r="E47" s="109"/>
      <c r="F47" s="116"/>
      <c r="H47" s="112">
        <f>IF(A44="",H44,H44+1)</f>
        <v>29</v>
      </c>
      <c r="I47" s="112" t="str">
        <f t="shared" si="4"/>
        <v>0.29</v>
      </c>
    </row>
    <row r="48" spans="1:9" ht="86.4">
      <c r="A48" s="106"/>
      <c r="B48" s="118" t="s">
        <v>155</v>
      </c>
      <c r="C48" s="108"/>
      <c r="D48" s="109"/>
      <c r="E48" s="109"/>
      <c r="F48" s="106"/>
      <c r="H48" s="112">
        <f>IF(A47="",H47,H47+1)</f>
        <v>29</v>
      </c>
      <c r="I48" s="112" t="str">
        <f t="shared" si="4"/>
        <v>0.29</v>
      </c>
    </row>
    <row r="49" spans="1:9" ht="57.6">
      <c r="A49" s="106"/>
      <c r="B49" s="118" t="s">
        <v>116</v>
      </c>
      <c r="C49" s="108"/>
      <c r="D49" s="109"/>
      <c r="E49" s="109"/>
      <c r="F49" s="106"/>
      <c r="H49" s="112">
        <f>IF(A48="",H48,H48+1)</f>
        <v>29</v>
      </c>
      <c r="I49" s="112" t="str">
        <f t="shared" si="4"/>
        <v>0.29</v>
      </c>
    </row>
    <row r="50" spans="1:9" ht="28.8">
      <c r="A50" s="106"/>
      <c r="B50" s="118" t="s">
        <v>117</v>
      </c>
      <c r="C50" s="108"/>
      <c r="D50" s="109"/>
      <c r="E50" s="109"/>
      <c r="F50" s="106"/>
      <c r="H50" s="112">
        <f>IF(A49="",H49,H49+1)</f>
        <v>29</v>
      </c>
      <c r="I50" s="112" t="str">
        <f t="shared" si="4"/>
        <v>0.29</v>
      </c>
    </row>
    <row r="51" spans="1:9" ht="43.2">
      <c r="A51" s="106"/>
      <c r="B51" s="118" t="s">
        <v>118</v>
      </c>
      <c r="C51" s="108"/>
      <c r="D51" s="109"/>
      <c r="E51" s="109"/>
      <c r="F51" s="106"/>
      <c r="H51" s="112">
        <f>IF(A50="",H50,H50+1)</f>
        <v>29</v>
      </c>
      <c r="I51" s="112" t="str">
        <f t="shared" si="4"/>
        <v>0.29</v>
      </c>
    </row>
    <row r="52" spans="1:9" ht="72">
      <c r="A52" s="106"/>
      <c r="B52" s="118" t="s">
        <v>119</v>
      </c>
      <c r="C52" s="108"/>
      <c r="D52" s="109"/>
      <c r="E52" s="109"/>
      <c r="F52" s="106"/>
      <c r="H52" s="112">
        <f>IF(A51="",H51,H51+1)</f>
        <v>29</v>
      </c>
      <c r="I52" s="112" t="str">
        <f t="shared" si="4"/>
        <v>0.29</v>
      </c>
    </row>
    <row r="53" spans="1:9" ht="14.4">
      <c r="A53" s="106"/>
      <c r="B53" s="118" t="s">
        <v>120</v>
      </c>
      <c r="C53" s="108"/>
      <c r="D53" s="109"/>
      <c r="E53" s="109"/>
      <c r="F53" s="106"/>
      <c r="H53" s="112"/>
      <c r="I53" s="112"/>
    </row>
    <row r="54" spans="1:9" ht="14.4">
      <c r="A54" s="106"/>
      <c r="B54" s="118" t="s">
        <v>121</v>
      </c>
      <c r="C54" s="108"/>
      <c r="D54" s="109"/>
      <c r="E54" s="109"/>
      <c r="F54" s="106"/>
      <c r="H54" s="112"/>
      <c r="I54" s="112"/>
    </row>
    <row r="55" spans="1:9" ht="14.4">
      <c r="A55" s="106"/>
      <c r="B55" s="118" t="s">
        <v>122</v>
      </c>
      <c r="C55" s="108"/>
      <c r="D55" s="109"/>
      <c r="E55" s="109"/>
      <c r="F55" s="106"/>
      <c r="H55" s="112"/>
      <c r="I55" s="112"/>
    </row>
    <row r="56" spans="1:9" ht="14.4">
      <c r="A56" s="106"/>
      <c r="B56" s="118" t="s">
        <v>123</v>
      </c>
      <c r="C56" s="108"/>
      <c r="D56" s="109"/>
      <c r="E56" s="109"/>
      <c r="F56" s="106"/>
      <c r="H56" s="112">
        <f>IF(A52="",H52,H52+1)</f>
        <v>29</v>
      </c>
      <c r="I56" s="112" t="str">
        <f t="shared" si="4"/>
        <v>0.29</v>
      </c>
    </row>
  </sheetData>
  <pageMargins left="0.91" right="0.59055118110236227" top="0.98425196850393704" bottom="0.98425196850393704" header="0.51181102362204722" footer="0.51181102362204722"/>
  <pageSetup paperSize="9" scale="88" orientation="portrait" r:id="rId1"/>
  <headerFooter alignWithMargins="0">
    <oddHeader>&amp;C&amp;"-,Regular"PAVILJONI ''AD TURRES'', Dramalj, k.o. Crikvenica&amp;R&amp;"-,Regular"TD 2439/17</oddHeader>
    <oddFooter>&amp;CCITARA d.o.o.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6"/>
  <sheetViews>
    <sheetView showZeros="0" view="pageBreakPreview" zoomScaleNormal="120" zoomScaleSheetLayoutView="100" workbookViewId="0">
      <selection activeCell="F5" sqref="F5:F15"/>
    </sheetView>
  </sheetViews>
  <sheetFormatPr defaultColWidth="9.21875" defaultRowHeight="14.4"/>
  <cols>
    <col min="1" max="1" width="7.109375" style="210" customWidth="1"/>
    <col min="2" max="2" width="49" style="211" customWidth="1"/>
    <col min="3" max="3" width="36.77734375" style="211" customWidth="1"/>
    <col min="4" max="4" width="9.21875" style="212" customWidth="1"/>
    <col min="5" max="5" width="7.88671875" style="213" customWidth="1"/>
    <col min="6" max="6" width="9.5546875" style="213" customWidth="1"/>
    <col min="7" max="7" width="12.21875" style="215" customWidth="1"/>
    <col min="8" max="8" width="7.77734375" style="3" customWidth="1"/>
    <col min="9" max="16384" width="9.21875" style="3"/>
  </cols>
  <sheetData>
    <row r="1" spans="1:7" s="1" customFormat="1" ht="27.6">
      <c r="A1" s="180" t="s">
        <v>4</v>
      </c>
      <c r="B1" s="181" t="s">
        <v>5</v>
      </c>
      <c r="C1" s="181" t="s">
        <v>175</v>
      </c>
      <c r="D1" s="182" t="s">
        <v>6</v>
      </c>
      <c r="E1" s="183" t="s">
        <v>7</v>
      </c>
      <c r="F1" s="183" t="s">
        <v>10</v>
      </c>
      <c r="G1" s="214" t="s">
        <v>11</v>
      </c>
    </row>
    <row r="2" spans="1:7" s="1" customFormat="1" ht="15" thickBot="1">
      <c r="A2" s="184"/>
      <c r="B2" s="185"/>
      <c r="C2" s="185"/>
      <c r="D2" s="186"/>
      <c r="E2" s="187"/>
      <c r="F2" s="187"/>
      <c r="G2" s="215"/>
    </row>
    <row r="3" spans="1:7" s="2" customFormat="1" ht="30" customHeight="1" thickBot="1">
      <c r="A3" s="188" t="s">
        <v>44</v>
      </c>
      <c r="B3" s="189" t="s">
        <v>59</v>
      </c>
      <c r="C3" s="189"/>
      <c r="D3" s="190"/>
      <c r="E3" s="191"/>
      <c r="F3" s="191"/>
      <c r="G3" s="216"/>
    </row>
    <row r="4" spans="1:7" s="2" customFormat="1" ht="15.6">
      <c r="A4" s="192"/>
      <c r="B4" s="193"/>
      <c r="C4" s="193"/>
      <c r="D4" s="194"/>
      <c r="E4" s="195"/>
      <c r="F4" s="195"/>
      <c r="G4" s="217"/>
    </row>
    <row r="5" spans="1:7" ht="112.8" customHeight="1">
      <c r="A5" s="329" t="s">
        <v>185</v>
      </c>
      <c r="B5" s="223" t="s">
        <v>48</v>
      </c>
      <c r="C5" s="347"/>
      <c r="D5" s="335" t="s">
        <v>17</v>
      </c>
      <c r="E5" s="338">
        <v>9</v>
      </c>
      <c r="F5" s="341"/>
      <c r="G5" s="344" t="str">
        <f>IF(F5="","",E5*F5)</f>
        <v/>
      </c>
    </row>
    <row r="6" spans="1:7">
      <c r="A6" s="330"/>
      <c r="B6" s="224" t="s">
        <v>176</v>
      </c>
      <c r="C6" s="348"/>
      <c r="D6" s="336"/>
      <c r="E6" s="339"/>
      <c r="F6" s="342"/>
      <c r="G6" s="345"/>
    </row>
    <row r="7" spans="1:7" ht="43.2">
      <c r="A7" s="330"/>
      <c r="B7" s="225" t="s">
        <v>177</v>
      </c>
      <c r="C7" s="348"/>
      <c r="D7" s="336"/>
      <c r="E7" s="339"/>
      <c r="F7" s="342"/>
      <c r="G7" s="345"/>
    </row>
    <row r="8" spans="1:7" ht="43.2">
      <c r="A8" s="330"/>
      <c r="B8" s="225" t="s">
        <v>178</v>
      </c>
      <c r="C8" s="348"/>
      <c r="D8" s="336"/>
      <c r="E8" s="339"/>
      <c r="F8" s="342"/>
      <c r="G8" s="345"/>
    </row>
    <row r="9" spans="1:7" ht="28.8">
      <c r="A9" s="330"/>
      <c r="B9" s="225" t="s">
        <v>179</v>
      </c>
      <c r="C9" s="348"/>
      <c r="D9" s="336"/>
      <c r="E9" s="339"/>
      <c r="F9" s="342"/>
      <c r="G9" s="345"/>
    </row>
    <row r="10" spans="1:7" ht="57.6">
      <c r="A10" s="330"/>
      <c r="B10" s="225" t="s">
        <v>180</v>
      </c>
      <c r="C10" s="348"/>
      <c r="D10" s="336"/>
      <c r="E10" s="339"/>
      <c r="F10" s="342"/>
      <c r="G10" s="345"/>
    </row>
    <row r="11" spans="1:7" ht="43.2">
      <c r="A11" s="330"/>
      <c r="B11" s="225" t="s">
        <v>181</v>
      </c>
      <c r="C11" s="348"/>
      <c r="D11" s="336"/>
      <c r="E11" s="339"/>
      <c r="F11" s="342"/>
      <c r="G11" s="345"/>
    </row>
    <row r="12" spans="1:7" ht="43.2">
      <c r="A12" s="330"/>
      <c r="B12" s="225" t="s">
        <v>182</v>
      </c>
      <c r="C12" s="348"/>
      <c r="D12" s="336"/>
      <c r="E12" s="339"/>
      <c r="F12" s="342"/>
      <c r="G12" s="345"/>
    </row>
    <row r="13" spans="1:7" ht="43.2">
      <c r="A13" s="330"/>
      <c r="B13" s="225" t="s">
        <v>184</v>
      </c>
      <c r="C13" s="348"/>
      <c r="D13" s="336"/>
      <c r="E13" s="339"/>
      <c r="F13" s="342"/>
      <c r="G13" s="345"/>
    </row>
    <row r="14" spans="1:7" ht="28.8">
      <c r="A14" s="330"/>
      <c r="B14" s="225" t="s">
        <v>183</v>
      </c>
      <c r="C14" s="348"/>
      <c r="D14" s="336"/>
      <c r="E14" s="339"/>
      <c r="F14" s="342"/>
      <c r="G14" s="345"/>
    </row>
    <row r="15" spans="1:7" ht="57.6">
      <c r="A15" s="331"/>
      <c r="B15" s="225" t="s">
        <v>191</v>
      </c>
      <c r="C15" s="348"/>
      <c r="D15" s="336"/>
      <c r="E15" s="339"/>
      <c r="F15" s="342"/>
      <c r="G15" s="345"/>
    </row>
    <row r="16" spans="1:7">
      <c r="A16" s="329" t="s">
        <v>186</v>
      </c>
      <c r="B16" s="220" t="s">
        <v>176</v>
      </c>
      <c r="C16" s="349"/>
      <c r="D16" s="335" t="s">
        <v>17</v>
      </c>
      <c r="E16" s="338">
        <v>9</v>
      </c>
      <c r="F16" s="341"/>
      <c r="G16" s="344" t="str">
        <f>IF(F16="","",E16*F16)</f>
        <v/>
      </c>
    </row>
    <row r="17" spans="1:7" ht="43.2">
      <c r="A17" s="330"/>
      <c r="B17" s="225" t="s">
        <v>187</v>
      </c>
      <c r="C17" s="350"/>
      <c r="D17" s="336"/>
      <c r="E17" s="339"/>
      <c r="F17" s="342"/>
      <c r="G17" s="345"/>
    </row>
    <row r="18" spans="1:7" ht="43.2">
      <c r="A18" s="330"/>
      <c r="B18" s="225" t="s">
        <v>188</v>
      </c>
      <c r="C18" s="350"/>
      <c r="D18" s="336"/>
      <c r="E18" s="339"/>
      <c r="F18" s="342"/>
      <c r="G18" s="345"/>
    </row>
    <row r="19" spans="1:7" ht="28.8">
      <c r="A19" s="330"/>
      <c r="B19" s="225" t="s">
        <v>189</v>
      </c>
      <c r="C19" s="350"/>
      <c r="D19" s="336"/>
      <c r="E19" s="339"/>
      <c r="F19" s="342"/>
      <c r="G19" s="345"/>
    </row>
    <row r="20" spans="1:7" ht="57.6">
      <c r="A20" s="330"/>
      <c r="B20" s="225" t="s">
        <v>190</v>
      </c>
      <c r="C20" s="350"/>
      <c r="D20" s="336"/>
      <c r="E20" s="339"/>
      <c r="F20" s="342"/>
      <c r="G20" s="345"/>
    </row>
    <row r="21" spans="1:7" ht="43.2">
      <c r="A21" s="330"/>
      <c r="B21" s="225" t="s">
        <v>181</v>
      </c>
      <c r="C21" s="350"/>
      <c r="D21" s="336"/>
      <c r="E21" s="339"/>
      <c r="F21" s="342"/>
      <c r="G21" s="345"/>
    </row>
    <row r="22" spans="1:7" ht="43.2">
      <c r="A22" s="330"/>
      <c r="B22" s="225" t="s">
        <v>182</v>
      </c>
      <c r="C22" s="350"/>
      <c r="D22" s="336"/>
      <c r="E22" s="339"/>
      <c r="F22" s="342"/>
      <c r="G22" s="345"/>
    </row>
    <row r="23" spans="1:7" ht="43.2">
      <c r="A23" s="330"/>
      <c r="B23" s="225" t="s">
        <v>184</v>
      </c>
      <c r="C23" s="350"/>
      <c r="D23" s="336"/>
      <c r="E23" s="339"/>
      <c r="F23" s="342"/>
      <c r="G23" s="345"/>
    </row>
    <row r="24" spans="1:7" ht="28.8">
      <c r="A24" s="330"/>
      <c r="B24" s="225" t="s">
        <v>183</v>
      </c>
      <c r="C24" s="350"/>
      <c r="D24" s="336"/>
      <c r="E24" s="339"/>
      <c r="F24" s="342"/>
      <c r="G24" s="345"/>
    </row>
    <row r="25" spans="1:7" ht="57.6">
      <c r="A25" s="331"/>
      <c r="B25" s="225" t="s">
        <v>192</v>
      </c>
      <c r="C25" s="351"/>
      <c r="D25" s="337"/>
      <c r="E25" s="340"/>
      <c r="F25" s="343"/>
      <c r="G25" s="346"/>
    </row>
    <row r="26" spans="1:7" ht="36" customHeight="1">
      <c r="A26" s="329" t="s">
        <v>193</v>
      </c>
      <c r="B26" s="286" t="s">
        <v>194</v>
      </c>
      <c r="C26" s="332"/>
      <c r="D26" s="335" t="s">
        <v>17</v>
      </c>
      <c r="E26" s="338">
        <v>81</v>
      </c>
      <c r="F26" s="341"/>
      <c r="G26" s="344" t="str">
        <f>IF(F26="","",E26*F26)</f>
        <v/>
      </c>
    </row>
    <row r="27" spans="1:7" ht="28.8">
      <c r="A27" s="330"/>
      <c r="B27" s="226" t="s">
        <v>195</v>
      </c>
      <c r="C27" s="333"/>
      <c r="D27" s="336"/>
      <c r="E27" s="339"/>
      <c r="F27" s="342"/>
      <c r="G27" s="345"/>
    </row>
    <row r="28" spans="1:7" ht="28.8">
      <c r="A28" s="330"/>
      <c r="B28" s="226" t="s">
        <v>196</v>
      </c>
      <c r="C28" s="333"/>
      <c r="D28" s="336"/>
      <c r="E28" s="339"/>
      <c r="F28" s="342"/>
      <c r="G28" s="345"/>
    </row>
    <row r="29" spans="1:7" ht="28.8">
      <c r="A29" s="330"/>
      <c r="B29" s="226" t="s">
        <v>197</v>
      </c>
      <c r="C29" s="333"/>
      <c r="D29" s="336"/>
      <c r="E29" s="339"/>
      <c r="F29" s="342"/>
      <c r="G29" s="345"/>
    </row>
    <row r="30" spans="1:7" ht="43.2">
      <c r="A30" s="330"/>
      <c r="B30" s="225" t="s">
        <v>198</v>
      </c>
      <c r="C30" s="333"/>
      <c r="D30" s="336"/>
      <c r="E30" s="339"/>
      <c r="F30" s="342"/>
      <c r="G30" s="345"/>
    </row>
    <row r="31" spans="1:7">
      <c r="A31" s="331"/>
      <c r="B31" s="227" t="s">
        <v>199</v>
      </c>
      <c r="C31" s="334"/>
      <c r="D31" s="337"/>
      <c r="E31" s="340"/>
      <c r="F31" s="343"/>
      <c r="G31" s="346"/>
    </row>
    <row r="32" spans="1:7" ht="36" customHeight="1">
      <c r="A32" s="329" t="s">
        <v>200</v>
      </c>
      <c r="B32" s="286" t="s">
        <v>194</v>
      </c>
      <c r="C32" s="332"/>
      <c r="D32" s="335" t="s">
        <v>17</v>
      </c>
      <c r="E32" s="338">
        <v>9</v>
      </c>
      <c r="F32" s="341"/>
      <c r="G32" s="344" t="str">
        <f>IF(F32="","",E32*F32)</f>
        <v/>
      </c>
    </row>
    <row r="33" spans="1:7" ht="28.8">
      <c r="A33" s="330"/>
      <c r="B33" s="226" t="s">
        <v>201</v>
      </c>
      <c r="C33" s="333"/>
      <c r="D33" s="336"/>
      <c r="E33" s="339"/>
      <c r="F33" s="342"/>
      <c r="G33" s="345"/>
    </row>
    <row r="34" spans="1:7" ht="28.8">
      <c r="A34" s="330"/>
      <c r="B34" s="226" t="s">
        <v>202</v>
      </c>
      <c r="C34" s="333"/>
      <c r="D34" s="336"/>
      <c r="E34" s="339"/>
      <c r="F34" s="342"/>
      <c r="G34" s="345"/>
    </row>
    <row r="35" spans="1:7" ht="28.8">
      <c r="A35" s="330"/>
      <c r="B35" s="226" t="s">
        <v>197</v>
      </c>
      <c r="C35" s="333"/>
      <c r="D35" s="336"/>
      <c r="E35" s="339"/>
      <c r="F35" s="342"/>
      <c r="G35" s="345"/>
    </row>
    <row r="36" spans="1:7" ht="43.2">
      <c r="A36" s="330"/>
      <c r="B36" s="225" t="s">
        <v>203</v>
      </c>
      <c r="C36" s="333"/>
      <c r="D36" s="336"/>
      <c r="E36" s="339"/>
      <c r="F36" s="342"/>
      <c r="G36" s="345"/>
    </row>
    <row r="37" spans="1:7">
      <c r="A37" s="331"/>
      <c r="B37" s="227" t="s">
        <v>199</v>
      </c>
      <c r="C37" s="334"/>
      <c r="D37" s="337"/>
      <c r="E37" s="340"/>
      <c r="F37" s="343"/>
      <c r="G37" s="346"/>
    </row>
    <row r="38" spans="1:7" ht="72">
      <c r="A38" s="326" t="s">
        <v>204</v>
      </c>
      <c r="B38" s="198" t="s">
        <v>166</v>
      </c>
      <c r="C38" s="198"/>
      <c r="D38" s="196"/>
      <c r="E38" s="197"/>
      <c r="F38" s="229"/>
      <c r="G38" s="230" t="str">
        <f t="shared" ref="G38:G39" si="0">IF(F38="","",E38*F38)</f>
        <v/>
      </c>
    </row>
    <row r="39" spans="1:7">
      <c r="A39" s="327"/>
      <c r="B39" s="199" t="s">
        <v>54</v>
      </c>
      <c r="C39" s="199"/>
      <c r="D39" s="231" t="s">
        <v>18</v>
      </c>
      <c r="E39" s="232">
        <v>90</v>
      </c>
      <c r="F39" s="229"/>
      <c r="G39" s="230" t="str">
        <f t="shared" si="0"/>
        <v/>
      </c>
    </row>
    <row r="40" spans="1:7" ht="17.25" customHeight="1">
      <c r="A40" s="327"/>
      <c r="B40" s="199" t="s">
        <v>55</v>
      </c>
      <c r="C40" s="199"/>
      <c r="D40" s="231" t="s">
        <v>18</v>
      </c>
      <c r="E40" s="232">
        <v>1035</v>
      </c>
      <c r="F40" s="229"/>
      <c r="G40" s="230" t="str">
        <f>IF(F40="","",E40*F40)</f>
        <v/>
      </c>
    </row>
    <row r="41" spans="1:7" ht="17.25" customHeight="1">
      <c r="A41" s="328"/>
      <c r="B41" s="199" t="s">
        <v>56</v>
      </c>
      <c r="C41" s="199"/>
      <c r="D41" s="231" t="s">
        <v>18</v>
      </c>
      <c r="E41" s="232">
        <v>1125</v>
      </c>
      <c r="F41" s="229"/>
      <c r="G41" s="230" t="str">
        <f>IF(F41="","",E41*F41)</f>
        <v/>
      </c>
    </row>
    <row r="42" spans="1:7">
      <c r="A42" s="326" t="s">
        <v>205</v>
      </c>
      <c r="B42" s="198" t="s">
        <v>52</v>
      </c>
      <c r="C42" s="198"/>
      <c r="D42" s="231"/>
      <c r="E42" s="232"/>
      <c r="F42" s="229"/>
      <c r="G42" s="230"/>
    </row>
    <row r="43" spans="1:7" ht="17.25" customHeight="1">
      <c r="A43" s="327"/>
      <c r="B43" s="200" t="s">
        <v>57</v>
      </c>
      <c r="C43" s="200"/>
      <c r="D43" s="231" t="s">
        <v>18</v>
      </c>
      <c r="E43" s="232">
        <v>300</v>
      </c>
      <c r="F43" s="229"/>
      <c r="G43" s="230" t="str">
        <f t="shared" ref="G43:G54" si="1">IF(F43="","",E43*F43)</f>
        <v/>
      </c>
    </row>
    <row r="44" spans="1:7" ht="17.25" customHeight="1">
      <c r="A44" s="328"/>
      <c r="B44" s="200" t="s">
        <v>58</v>
      </c>
      <c r="C44" s="200"/>
      <c r="D44" s="231" t="s">
        <v>18</v>
      </c>
      <c r="E44" s="232">
        <v>20</v>
      </c>
      <c r="F44" s="229"/>
      <c r="G44" s="230" t="str">
        <f t="shared" si="1"/>
        <v/>
      </c>
    </row>
    <row r="45" spans="1:7" ht="43.2">
      <c r="A45" s="228" t="s">
        <v>206</v>
      </c>
      <c r="B45" s="198" t="s">
        <v>273</v>
      </c>
      <c r="C45" s="198"/>
      <c r="D45" s="231" t="s">
        <v>17</v>
      </c>
      <c r="E45" s="232">
        <v>81</v>
      </c>
      <c r="F45" s="229"/>
      <c r="G45" s="230" t="str">
        <f t="shared" si="1"/>
        <v/>
      </c>
    </row>
    <row r="46" spans="1:7" ht="57.6">
      <c r="A46" s="228" t="s">
        <v>207</v>
      </c>
      <c r="B46" s="198" t="s">
        <v>49</v>
      </c>
      <c r="C46" s="198"/>
      <c r="D46" s="231" t="s">
        <v>208</v>
      </c>
      <c r="E46" s="232">
        <v>18</v>
      </c>
      <c r="F46" s="229"/>
      <c r="G46" s="230" t="str">
        <f t="shared" si="1"/>
        <v/>
      </c>
    </row>
    <row r="47" spans="1:7" ht="28.8">
      <c r="A47" s="228" t="s">
        <v>209</v>
      </c>
      <c r="B47" s="201" t="s">
        <v>50</v>
      </c>
      <c r="C47" s="201"/>
      <c r="D47" s="231" t="s">
        <v>36</v>
      </c>
      <c r="E47" s="232">
        <v>5</v>
      </c>
      <c r="F47" s="229"/>
      <c r="G47" s="230" t="str">
        <f t="shared" si="1"/>
        <v/>
      </c>
    </row>
    <row r="48" spans="1:7" ht="28.8">
      <c r="A48" s="228" t="s">
        <v>210</v>
      </c>
      <c r="B48" s="198" t="s">
        <v>158</v>
      </c>
      <c r="C48" s="198"/>
      <c r="D48" s="231" t="s">
        <v>18</v>
      </c>
      <c r="E48" s="232">
        <v>300</v>
      </c>
      <c r="F48" s="229"/>
      <c r="G48" s="230" t="str">
        <f t="shared" si="1"/>
        <v/>
      </c>
    </row>
    <row r="49" spans="1:7" ht="43.2">
      <c r="A49" s="326" t="s">
        <v>211</v>
      </c>
      <c r="B49" s="198" t="s">
        <v>159</v>
      </c>
      <c r="C49" s="198"/>
      <c r="D49" s="231"/>
      <c r="E49" s="232"/>
      <c r="F49" s="229"/>
      <c r="G49" s="230"/>
    </row>
    <row r="50" spans="1:7">
      <c r="A50" s="327"/>
      <c r="B50" s="198" t="s">
        <v>160</v>
      </c>
      <c r="C50" s="198"/>
      <c r="D50" s="231" t="s">
        <v>18</v>
      </c>
      <c r="E50" s="232">
        <v>70</v>
      </c>
      <c r="F50" s="229"/>
      <c r="G50" s="230" t="str">
        <f t="shared" si="1"/>
        <v/>
      </c>
    </row>
    <row r="51" spans="1:7">
      <c r="A51" s="328"/>
      <c r="B51" s="198" t="s">
        <v>161</v>
      </c>
      <c r="C51" s="198"/>
      <c r="D51" s="231" t="s">
        <v>18</v>
      </c>
      <c r="E51" s="232">
        <v>70</v>
      </c>
      <c r="F51" s="229"/>
      <c r="G51" s="230" t="str">
        <f t="shared" si="1"/>
        <v/>
      </c>
    </row>
    <row r="52" spans="1:7" ht="43.2">
      <c r="A52" s="228" t="s">
        <v>212</v>
      </c>
      <c r="B52" s="198" t="s">
        <v>1</v>
      </c>
      <c r="C52" s="198"/>
      <c r="D52" s="231" t="s">
        <v>12</v>
      </c>
      <c r="E52" s="232">
        <v>1</v>
      </c>
      <c r="F52" s="229"/>
      <c r="G52" s="230" t="str">
        <f t="shared" si="1"/>
        <v/>
      </c>
    </row>
    <row r="53" spans="1:7" ht="94.8" customHeight="1">
      <c r="A53" s="228" t="s">
        <v>213</v>
      </c>
      <c r="B53" s="198" t="s">
        <v>2</v>
      </c>
      <c r="C53" s="198"/>
      <c r="D53" s="231" t="s">
        <v>12</v>
      </c>
      <c r="E53" s="232">
        <v>1</v>
      </c>
      <c r="F53" s="229"/>
      <c r="G53" s="230" t="str">
        <f t="shared" si="1"/>
        <v/>
      </c>
    </row>
    <row r="54" spans="1:7" ht="43.2">
      <c r="A54" s="228" t="s">
        <v>214</v>
      </c>
      <c r="B54" s="198" t="s">
        <v>47</v>
      </c>
      <c r="C54" s="198"/>
      <c r="D54" s="231" t="s">
        <v>12</v>
      </c>
      <c r="E54" s="232">
        <v>1</v>
      </c>
      <c r="F54" s="229"/>
      <c r="G54" s="230" t="str">
        <f t="shared" si="1"/>
        <v/>
      </c>
    </row>
    <row r="55" spans="1:7" ht="15" thickBot="1">
      <c r="A55" s="203"/>
      <c r="B55" s="202"/>
      <c r="C55" s="202"/>
      <c r="D55" s="204"/>
      <c r="E55" s="205"/>
      <c r="F55" s="205"/>
      <c r="G55" s="218"/>
    </row>
    <row r="56" spans="1:7" ht="16.2" thickBot="1">
      <c r="A56" s="206"/>
      <c r="B56" s="207" t="s">
        <v>8</v>
      </c>
      <c r="C56" s="221"/>
      <c r="D56" s="208"/>
      <c r="E56" s="209"/>
      <c r="F56" s="209"/>
      <c r="G56" s="216">
        <f>SUM(G5:G54)</f>
        <v>0</v>
      </c>
    </row>
  </sheetData>
  <mergeCells count="27">
    <mergeCell ref="A5:A15"/>
    <mergeCell ref="G16:G25"/>
    <mergeCell ref="C5:C15"/>
    <mergeCell ref="D5:D15"/>
    <mergeCell ref="E5:E15"/>
    <mergeCell ref="F5:F15"/>
    <mergeCell ref="G5:G15"/>
    <mergeCell ref="A16:A25"/>
    <mergeCell ref="C16:C25"/>
    <mergeCell ref="D16:D25"/>
    <mergeCell ref="E16:E25"/>
    <mergeCell ref="F16:F25"/>
    <mergeCell ref="D32:D37"/>
    <mergeCell ref="E32:E37"/>
    <mergeCell ref="F32:F37"/>
    <mergeCell ref="G32:G37"/>
    <mergeCell ref="A26:A31"/>
    <mergeCell ref="C26:C31"/>
    <mergeCell ref="D26:D31"/>
    <mergeCell ref="E26:E31"/>
    <mergeCell ref="F26:F31"/>
    <mergeCell ref="G26:G31"/>
    <mergeCell ref="A38:A41"/>
    <mergeCell ref="A42:A44"/>
    <mergeCell ref="A49:A51"/>
    <mergeCell ref="A32:A37"/>
    <mergeCell ref="C32:C37"/>
  </mergeCells>
  <pageMargins left="0.91" right="0.59055118110236227" top="0.98425196850393704" bottom="0.98425196850393704" header="0.51181102362204722" footer="0.51181102362204722"/>
  <pageSetup paperSize="9" orientation="landscape" r:id="rId1"/>
  <headerFooter alignWithMargins="0">
    <oddHeader>&amp;C&amp;"-,Regular"PAVILJONI ''AD TURRES'', Dramalj, k.o. Crikvenica&amp;R&amp;"-,Regular"TD 2439/17</oddHeader>
    <oddFooter>&amp;CCITARA d.o.o.</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87"/>
  <sheetViews>
    <sheetView showZeros="0" view="pageBreakPreview" zoomScaleNormal="120" zoomScaleSheetLayoutView="100" workbookViewId="0">
      <selection activeCell="F5" sqref="F5:F6"/>
    </sheetView>
  </sheetViews>
  <sheetFormatPr defaultColWidth="9.21875" defaultRowHeight="13.2"/>
  <cols>
    <col min="1" max="1" width="6.44140625" style="128" customWidth="1"/>
    <col min="2" max="2" width="49.44140625" style="287" customWidth="1"/>
    <col min="3" max="3" width="36.21875" style="129" customWidth="1"/>
    <col min="4" max="4" width="9.21875" style="127" customWidth="1"/>
    <col min="5" max="5" width="7.77734375" style="130" customWidth="1"/>
    <col min="6" max="6" width="10.21875" style="130" customWidth="1"/>
    <col min="7" max="7" width="12.5546875" style="125" bestFit="1" customWidth="1"/>
    <col min="8" max="16384" width="9.21875" style="127"/>
  </cols>
  <sheetData>
    <row r="1" spans="1:9" s="124" customFormat="1" ht="27.6">
      <c r="A1" s="131" t="s">
        <v>4</v>
      </c>
      <c r="B1" s="152" t="s">
        <v>5</v>
      </c>
      <c r="C1" s="152" t="s">
        <v>175</v>
      </c>
      <c r="D1" s="132" t="s">
        <v>6</v>
      </c>
      <c r="E1" s="133" t="s">
        <v>7</v>
      </c>
      <c r="F1" s="133" t="s">
        <v>10</v>
      </c>
      <c r="G1" s="134" t="s">
        <v>11</v>
      </c>
    </row>
    <row r="2" spans="1:9" s="124" customFormat="1" ht="15" thickBot="1">
      <c r="A2" s="153"/>
      <c r="B2" s="154"/>
      <c r="C2" s="154"/>
      <c r="D2" s="154"/>
      <c r="E2" s="155"/>
      <c r="F2" s="155"/>
      <c r="G2" s="156"/>
    </row>
    <row r="3" spans="1:9" s="126" customFormat="1" ht="30" customHeight="1" thickBot="1">
      <c r="A3" s="157" t="s">
        <v>45</v>
      </c>
      <c r="B3" s="135" t="s">
        <v>124</v>
      </c>
      <c r="C3" s="135"/>
      <c r="D3" s="158"/>
      <c r="E3" s="159"/>
      <c r="F3" s="159"/>
      <c r="G3" s="160"/>
    </row>
    <row r="4" spans="1:9" s="126" customFormat="1" ht="15.6">
      <c r="A4" s="136"/>
      <c r="B4" s="137"/>
      <c r="C4" s="137"/>
      <c r="D4" s="138"/>
      <c r="E4" s="139"/>
      <c r="F4" s="139"/>
      <c r="G4" s="140"/>
    </row>
    <row r="5" spans="1:9" s="84" customFormat="1" ht="72">
      <c r="A5" s="386" t="s">
        <v>215</v>
      </c>
      <c r="B5" s="233" t="s">
        <v>274</v>
      </c>
      <c r="C5" s="436"/>
      <c r="D5" s="366" t="s">
        <v>0</v>
      </c>
      <c r="E5" s="369">
        <v>9</v>
      </c>
      <c r="F5" s="424"/>
      <c r="G5" s="405">
        <f>E5*F5</f>
        <v>0</v>
      </c>
      <c r="I5" s="85"/>
    </row>
    <row r="6" spans="1:9" s="84" customFormat="1" ht="14.4">
      <c r="A6" s="416"/>
      <c r="B6" s="234" t="s">
        <v>251</v>
      </c>
      <c r="C6" s="437"/>
      <c r="D6" s="368"/>
      <c r="E6" s="371"/>
      <c r="F6" s="426"/>
      <c r="G6" s="407"/>
      <c r="I6" s="85"/>
    </row>
    <row r="7" spans="1:9" s="84" customFormat="1" ht="16.2">
      <c r="A7" s="386" t="s">
        <v>216</v>
      </c>
      <c r="B7" s="236" t="s">
        <v>275</v>
      </c>
      <c r="C7" s="438"/>
      <c r="D7" s="366" t="s">
        <v>0</v>
      </c>
      <c r="E7" s="369">
        <v>36</v>
      </c>
      <c r="F7" s="424"/>
      <c r="G7" s="405">
        <f t="shared" ref="G7:G32" si="0">E7*F7</f>
        <v>0</v>
      </c>
      <c r="I7" s="85"/>
    </row>
    <row r="8" spans="1:9" s="84" customFormat="1" ht="28.8">
      <c r="A8" s="387"/>
      <c r="B8" s="237" t="s">
        <v>252</v>
      </c>
      <c r="C8" s="439"/>
      <c r="D8" s="367"/>
      <c r="E8" s="370"/>
      <c r="F8" s="425"/>
      <c r="G8" s="406"/>
      <c r="I8" s="85"/>
    </row>
    <row r="9" spans="1:9" s="84" customFormat="1" ht="43.2">
      <c r="A9" s="387"/>
      <c r="B9" s="237" t="s">
        <v>276</v>
      </c>
      <c r="C9" s="439"/>
      <c r="D9" s="367"/>
      <c r="E9" s="370"/>
      <c r="F9" s="425"/>
      <c r="G9" s="406"/>
      <c r="I9" s="85"/>
    </row>
    <row r="10" spans="1:9" s="84" customFormat="1" ht="28.8">
      <c r="A10" s="387"/>
      <c r="B10" s="237" t="s">
        <v>253</v>
      </c>
      <c r="C10" s="439"/>
      <c r="D10" s="367"/>
      <c r="E10" s="370"/>
      <c r="F10" s="425"/>
      <c r="G10" s="406"/>
      <c r="I10" s="85"/>
    </row>
    <row r="11" spans="1:9" s="84" customFormat="1" ht="43.2">
      <c r="A11" s="416"/>
      <c r="B11" s="237" t="s">
        <v>254</v>
      </c>
      <c r="C11" s="440"/>
      <c r="D11" s="368"/>
      <c r="E11" s="371"/>
      <c r="F11" s="426"/>
      <c r="G11" s="407"/>
      <c r="I11" s="85"/>
    </row>
    <row r="12" spans="1:9" s="84" customFormat="1" ht="28.8">
      <c r="A12" s="386" t="s">
        <v>217</v>
      </c>
      <c r="B12" s="236" t="s">
        <v>125</v>
      </c>
      <c r="C12" s="363"/>
      <c r="D12" s="366" t="s">
        <v>0</v>
      </c>
      <c r="E12" s="430">
        <v>3</v>
      </c>
      <c r="F12" s="424"/>
      <c r="G12" s="405">
        <f>E12*F12</f>
        <v>0</v>
      </c>
      <c r="I12" s="85"/>
    </row>
    <row r="13" spans="1:9" s="84" customFormat="1" ht="14.4">
      <c r="A13" s="387"/>
      <c r="B13" s="246" t="s">
        <v>126</v>
      </c>
      <c r="C13" s="364"/>
      <c r="D13" s="367"/>
      <c r="E13" s="431"/>
      <c r="F13" s="425"/>
      <c r="G13" s="406"/>
      <c r="I13" s="85"/>
    </row>
    <row r="14" spans="1:9" s="84" customFormat="1" ht="14.4">
      <c r="A14" s="387"/>
      <c r="B14" s="246" t="s">
        <v>127</v>
      </c>
      <c r="C14" s="364"/>
      <c r="D14" s="367"/>
      <c r="E14" s="431"/>
      <c r="F14" s="425"/>
      <c r="G14" s="406"/>
      <c r="I14" s="85"/>
    </row>
    <row r="15" spans="1:9" s="84" customFormat="1" ht="28.8">
      <c r="A15" s="387"/>
      <c r="B15" s="247" t="s">
        <v>128</v>
      </c>
      <c r="C15" s="364"/>
      <c r="D15" s="367"/>
      <c r="E15" s="431"/>
      <c r="F15" s="425"/>
      <c r="G15" s="406"/>
      <c r="I15" s="85"/>
    </row>
    <row r="16" spans="1:9" s="84" customFormat="1" ht="14.4">
      <c r="A16" s="416"/>
      <c r="B16" s="248" t="s">
        <v>129</v>
      </c>
      <c r="C16" s="365"/>
      <c r="D16" s="368"/>
      <c r="E16" s="432"/>
      <c r="F16" s="426"/>
      <c r="G16" s="407"/>
      <c r="I16" s="85"/>
    </row>
    <row r="17" spans="1:9" s="84" customFormat="1" ht="28.8">
      <c r="A17" s="238" t="s">
        <v>218</v>
      </c>
      <c r="B17" s="245" t="s">
        <v>130</v>
      </c>
      <c r="C17" s="252"/>
      <c r="D17" s="239" t="s">
        <v>17</v>
      </c>
      <c r="E17" s="240">
        <v>1</v>
      </c>
      <c r="F17" s="241"/>
      <c r="G17" s="242">
        <f t="shared" si="0"/>
        <v>0</v>
      </c>
      <c r="I17" s="85"/>
    </row>
    <row r="18" spans="1:9" s="84" customFormat="1" ht="14.4">
      <c r="A18" s="83" t="s">
        <v>219</v>
      </c>
      <c r="B18" s="249" t="s">
        <v>131</v>
      </c>
      <c r="C18" s="253"/>
      <c r="D18" s="143" t="s">
        <v>132</v>
      </c>
      <c r="E18" s="144">
        <v>300</v>
      </c>
      <c r="F18" s="243"/>
      <c r="G18" s="244">
        <f t="shared" si="0"/>
        <v>0</v>
      </c>
      <c r="I18" s="85"/>
    </row>
    <row r="19" spans="1:9" s="84" customFormat="1" ht="28.8">
      <c r="A19" s="386" t="s">
        <v>220</v>
      </c>
      <c r="B19" s="250" t="s">
        <v>255</v>
      </c>
      <c r="C19" s="433"/>
      <c r="D19" s="366" t="s">
        <v>0</v>
      </c>
      <c r="E19" s="369">
        <v>3</v>
      </c>
      <c r="F19" s="424"/>
      <c r="G19" s="405">
        <f t="shared" si="0"/>
        <v>0</v>
      </c>
      <c r="I19" s="85"/>
    </row>
    <row r="20" spans="1:9" s="84" customFormat="1" ht="14.4">
      <c r="A20" s="387"/>
      <c r="B20" s="251" t="s">
        <v>256</v>
      </c>
      <c r="C20" s="434"/>
      <c r="D20" s="367"/>
      <c r="E20" s="370"/>
      <c r="F20" s="425"/>
      <c r="G20" s="406"/>
      <c r="I20" s="85"/>
    </row>
    <row r="21" spans="1:9" s="84" customFormat="1" ht="14.4">
      <c r="A21" s="387"/>
      <c r="B21" s="251" t="s">
        <v>257</v>
      </c>
      <c r="C21" s="434"/>
      <c r="D21" s="367"/>
      <c r="E21" s="370"/>
      <c r="F21" s="425"/>
      <c r="G21" s="406"/>
      <c r="I21" s="85"/>
    </row>
    <row r="22" spans="1:9" s="84" customFormat="1" ht="28.8">
      <c r="A22" s="416"/>
      <c r="B22" s="251" t="s">
        <v>258</v>
      </c>
      <c r="C22" s="435"/>
      <c r="D22" s="368"/>
      <c r="E22" s="371"/>
      <c r="F22" s="426"/>
      <c r="G22" s="407"/>
      <c r="I22" s="85"/>
    </row>
    <row r="23" spans="1:9" s="84" customFormat="1" ht="43.2">
      <c r="A23" s="386" t="s">
        <v>221</v>
      </c>
      <c r="B23" s="254" t="s">
        <v>173</v>
      </c>
      <c r="C23" s="427"/>
      <c r="D23" s="366" t="s">
        <v>0</v>
      </c>
      <c r="E23" s="369">
        <v>3</v>
      </c>
      <c r="F23" s="424"/>
      <c r="G23" s="405">
        <f>E23*F23</f>
        <v>0</v>
      </c>
      <c r="I23" s="85"/>
    </row>
    <row r="24" spans="1:9" s="84" customFormat="1" ht="14.4">
      <c r="A24" s="387"/>
      <c r="B24" s="247" t="s">
        <v>133</v>
      </c>
      <c r="C24" s="428"/>
      <c r="D24" s="367"/>
      <c r="E24" s="370"/>
      <c r="F24" s="425"/>
      <c r="G24" s="406"/>
      <c r="I24" s="85"/>
    </row>
    <row r="25" spans="1:9" s="84" customFormat="1" ht="14.4">
      <c r="A25" s="387"/>
      <c r="B25" s="247" t="s">
        <v>134</v>
      </c>
      <c r="C25" s="428"/>
      <c r="D25" s="367"/>
      <c r="E25" s="370"/>
      <c r="F25" s="425"/>
      <c r="G25" s="406"/>
      <c r="I25" s="85"/>
    </row>
    <row r="26" spans="1:9" s="84" customFormat="1" ht="14.4">
      <c r="A26" s="387"/>
      <c r="B26" s="247" t="s">
        <v>135</v>
      </c>
      <c r="C26" s="428"/>
      <c r="D26" s="367"/>
      <c r="E26" s="370"/>
      <c r="F26" s="425"/>
      <c r="G26" s="406"/>
      <c r="I26" s="85"/>
    </row>
    <row r="27" spans="1:9" s="84" customFormat="1" ht="14.4">
      <c r="A27" s="387"/>
      <c r="B27" s="247" t="s">
        <v>136</v>
      </c>
      <c r="C27" s="428"/>
      <c r="D27" s="367"/>
      <c r="E27" s="370"/>
      <c r="F27" s="425"/>
      <c r="G27" s="406"/>
      <c r="I27" s="85"/>
    </row>
    <row r="28" spans="1:9" s="84" customFormat="1" ht="14.4">
      <c r="A28" s="387"/>
      <c r="B28" s="247" t="s">
        <v>137</v>
      </c>
      <c r="C28" s="428"/>
      <c r="D28" s="367"/>
      <c r="E28" s="370"/>
      <c r="F28" s="425"/>
      <c r="G28" s="406"/>
      <c r="I28" s="85"/>
    </row>
    <row r="29" spans="1:9" s="84" customFormat="1" ht="14.4">
      <c r="A29" s="416"/>
      <c r="B29" s="247" t="s">
        <v>174</v>
      </c>
      <c r="C29" s="429"/>
      <c r="D29" s="368"/>
      <c r="E29" s="371"/>
      <c r="F29" s="426"/>
      <c r="G29" s="407"/>
      <c r="I29" s="85"/>
    </row>
    <row r="30" spans="1:9" s="84" customFormat="1" ht="72">
      <c r="A30" s="386" t="s">
        <v>222</v>
      </c>
      <c r="B30" s="236" t="s">
        <v>259</v>
      </c>
      <c r="C30" s="421"/>
      <c r="D30" s="366" t="s">
        <v>0</v>
      </c>
      <c r="E30" s="369">
        <v>36</v>
      </c>
      <c r="F30" s="417"/>
      <c r="G30" s="419">
        <f t="shared" si="0"/>
        <v>0</v>
      </c>
      <c r="I30" s="85"/>
    </row>
    <row r="31" spans="1:9" s="84" customFormat="1" ht="28.8">
      <c r="A31" s="416"/>
      <c r="B31" s="237" t="s">
        <v>260</v>
      </c>
      <c r="C31" s="422"/>
      <c r="D31" s="368"/>
      <c r="E31" s="371"/>
      <c r="F31" s="418"/>
      <c r="G31" s="420"/>
      <c r="I31" s="85"/>
    </row>
    <row r="32" spans="1:9" s="176" customFormat="1" ht="28.8">
      <c r="A32" s="357" t="s">
        <v>223</v>
      </c>
      <c r="B32" s="236" t="s">
        <v>277</v>
      </c>
      <c r="C32" s="421"/>
      <c r="D32" s="366" t="s">
        <v>0</v>
      </c>
      <c r="E32" s="369">
        <v>3</v>
      </c>
      <c r="F32" s="424"/>
      <c r="G32" s="405">
        <f t="shared" si="0"/>
        <v>0</v>
      </c>
    </row>
    <row r="33" spans="1:9" s="176" customFormat="1" ht="43.2">
      <c r="A33" s="358"/>
      <c r="B33" s="237" t="s">
        <v>262</v>
      </c>
      <c r="C33" s="423"/>
      <c r="D33" s="367"/>
      <c r="E33" s="370"/>
      <c r="F33" s="425"/>
      <c r="G33" s="406"/>
    </row>
    <row r="34" spans="1:9" s="176" customFormat="1" ht="28.8">
      <c r="A34" s="359"/>
      <c r="B34" s="237" t="s">
        <v>261</v>
      </c>
      <c r="C34" s="422"/>
      <c r="D34" s="368"/>
      <c r="E34" s="371"/>
      <c r="F34" s="426"/>
      <c r="G34" s="407"/>
    </row>
    <row r="35" spans="1:9" s="166" customFormat="1" ht="43.2">
      <c r="A35" s="390" t="s">
        <v>224</v>
      </c>
      <c r="B35" s="258" t="s">
        <v>169</v>
      </c>
      <c r="C35" s="393"/>
      <c r="D35" s="396" t="s">
        <v>0</v>
      </c>
      <c r="E35" s="399">
        <v>3</v>
      </c>
      <c r="F35" s="402"/>
      <c r="G35" s="405">
        <f>E35*F35</f>
        <v>0</v>
      </c>
    </row>
    <row r="36" spans="1:9" s="166" customFormat="1" ht="14.4">
      <c r="A36" s="391"/>
      <c r="B36" s="259" t="s">
        <v>170</v>
      </c>
      <c r="C36" s="394"/>
      <c r="D36" s="397"/>
      <c r="E36" s="400"/>
      <c r="F36" s="403"/>
      <c r="G36" s="406"/>
    </row>
    <row r="37" spans="1:9" s="166" customFormat="1" ht="14.4">
      <c r="A37" s="391"/>
      <c r="B37" s="259" t="s">
        <v>171</v>
      </c>
      <c r="C37" s="394"/>
      <c r="D37" s="397"/>
      <c r="E37" s="400"/>
      <c r="F37" s="403"/>
      <c r="G37" s="406"/>
    </row>
    <row r="38" spans="1:9" s="166" customFormat="1" ht="14.4">
      <c r="A38" s="392"/>
      <c r="B38" s="260" t="s">
        <v>172</v>
      </c>
      <c r="C38" s="395"/>
      <c r="D38" s="398"/>
      <c r="E38" s="401"/>
      <c r="F38" s="404"/>
      <c r="G38" s="407"/>
    </row>
    <row r="39" spans="1:9" ht="28.8">
      <c r="A39" s="256" t="s">
        <v>225</v>
      </c>
      <c r="B39" s="257" t="s">
        <v>157</v>
      </c>
      <c r="C39" s="171"/>
      <c r="D39" s="169" t="s">
        <v>17</v>
      </c>
      <c r="E39" s="170">
        <v>1</v>
      </c>
      <c r="F39" s="170"/>
      <c r="G39" s="60">
        <f>E39*F39</f>
        <v>0</v>
      </c>
    </row>
    <row r="40" spans="1:9" ht="43.2">
      <c r="A40" s="165" t="s">
        <v>226</v>
      </c>
      <c r="B40" s="264" t="s">
        <v>278</v>
      </c>
      <c r="C40" s="171"/>
      <c r="D40" s="261" t="s">
        <v>0</v>
      </c>
      <c r="E40" s="262">
        <v>9</v>
      </c>
      <c r="F40" s="263"/>
      <c r="G40" s="242">
        <f>E40*F40</f>
        <v>0</v>
      </c>
    </row>
    <row r="41" spans="1:9" s="172" customFormat="1" ht="115.2">
      <c r="A41" s="390" t="s">
        <v>227</v>
      </c>
      <c r="B41" s="266" t="s">
        <v>279</v>
      </c>
      <c r="C41" s="408"/>
      <c r="D41" s="410" t="s">
        <v>17</v>
      </c>
      <c r="E41" s="412">
        <v>9</v>
      </c>
      <c r="F41" s="414"/>
      <c r="G41" s="388" t="str">
        <f>IF(F41="","",E41*F41)</f>
        <v/>
      </c>
      <c r="I41" s="179"/>
    </row>
    <row r="42" spans="1:9" s="172" customFormat="1" ht="14.4">
      <c r="A42" s="392"/>
      <c r="B42" s="267" t="s">
        <v>163</v>
      </c>
      <c r="C42" s="409"/>
      <c r="D42" s="411"/>
      <c r="E42" s="413"/>
      <c r="F42" s="415"/>
      <c r="G42" s="389"/>
      <c r="I42" s="179"/>
    </row>
    <row r="43" spans="1:9" s="166" customFormat="1" ht="28.8">
      <c r="A43" s="256" t="s">
        <v>228</v>
      </c>
      <c r="B43" s="265" t="s">
        <v>167</v>
      </c>
      <c r="C43" s="167"/>
      <c r="D43" s="268" t="s">
        <v>0</v>
      </c>
      <c r="E43" s="269">
        <v>3</v>
      </c>
      <c r="F43" s="270"/>
      <c r="G43" s="242">
        <f>E43*F43</f>
        <v>0</v>
      </c>
    </row>
    <row r="44" spans="1:9" s="166" customFormat="1" ht="28.8">
      <c r="A44" s="256" t="s">
        <v>229</v>
      </c>
      <c r="B44" s="168" t="s">
        <v>150</v>
      </c>
      <c r="C44" s="168"/>
      <c r="D44" s="268" t="s">
        <v>17</v>
      </c>
      <c r="E44" s="269">
        <v>12</v>
      </c>
      <c r="F44" s="270"/>
      <c r="G44" s="242">
        <f t="shared" ref="G44:G83" si="1">E44*F44</f>
        <v>0</v>
      </c>
    </row>
    <row r="45" spans="1:9" s="166" customFormat="1" ht="28.8">
      <c r="A45" s="256" t="s">
        <v>230</v>
      </c>
      <c r="B45" s="167" t="s">
        <v>151</v>
      </c>
      <c r="C45" s="167"/>
      <c r="D45" s="268" t="s">
        <v>17</v>
      </c>
      <c r="E45" s="269">
        <v>3</v>
      </c>
      <c r="F45" s="270"/>
      <c r="G45" s="242">
        <f t="shared" si="1"/>
        <v>0</v>
      </c>
    </row>
    <row r="46" spans="1:9" s="166" customFormat="1" ht="28.8">
      <c r="A46" s="256" t="s">
        <v>231</v>
      </c>
      <c r="B46" s="167" t="s">
        <v>152</v>
      </c>
      <c r="C46" s="167"/>
      <c r="D46" s="268" t="s">
        <v>17</v>
      </c>
      <c r="E46" s="269">
        <v>3</v>
      </c>
      <c r="F46" s="270"/>
      <c r="G46" s="242">
        <f t="shared" si="1"/>
        <v>0</v>
      </c>
    </row>
    <row r="47" spans="1:9" s="166" customFormat="1" ht="14.4">
      <c r="A47" s="256" t="s">
        <v>232</v>
      </c>
      <c r="B47" s="86" t="s">
        <v>147</v>
      </c>
      <c r="C47" s="86"/>
      <c r="D47" s="268" t="s">
        <v>17</v>
      </c>
      <c r="E47" s="269">
        <v>3</v>
      </c>
      <c r="F47" s="270"/>
      <c r="G47" s="242">
        <f t="shared" si="1"/>
        <v>0</v>
      </c>
    </row>
    <row r="48" spans="1:9" s="166" customFormat="1" ht="28.8">
      <c r="A48" s="256" t="s">
        <v>233</v>
      </c>
      <c r="B48" s="177" t="s">
        <v>156</v>
      </c>
      <c r="C48" s="177"/>
      <c r="D48" s="261" t="s">
        <v>0</v>
      </c>
      <c r="E48" s="262">
        <v>1</v>
      </c>
      <c r="F48" s="263"/>
      <c r="G48" s="242">
        <f t="shared" si="1"/>
        <v>0</v>
      </c>
    </row>
    <row r="49" spans="1:9" s="166" customFormat="1" ht="28.8">
      <c r="A49" s="383" t="s">
        <v>234</v>
      </c>
      <c r="B49" s="168" t="s">
        <v>149</v>
      </c>
      <c r="C49" s="168"/>
      <c r="D49" s="261"/>
      <c r="E49" s="262"/>
      <c r="F49" s="263"/>
      <c r="G49" s="242">
        <f t="shared" si="1"/>
        <v>0</v>
      </c>
    </row>
    <row r="50" spans="1:9" s="166" customFormat="1" ht="14.4">
      <c r="A50" s="384"/>
      <c r="B50" s="168" t="s">
        <v>16</v>
      </c>
      <c r="C50" s="168"/>
      <c r="D50" s="261" t="s">
        <v>17</v>
      </c>
      <c r="E50" s="262">
        <v>9</v>
      </c>
      <c r="F50" s="263"/>
      <c r="G50" s="242">
        <f t="shared" si="1"/>
        <v>0</v>
      </c>
    </row>
    <row r="51" spans="1:9" s="166" customFormat="1" ht="14.4">
      <c r="A51" s="383" t="s">
        <v>235</v>
      </c>
      <c r="B51" s="171" t="s">
        <v>153</v>
      </c>
      <c r="C51" s="171"/>
      <c r="D51" s="261"/>
      <c r="E51" s="262"/>
      <c r="F51" s="271"/>
      <c r="G51" s="242">
        <f t="shared" si="1"/>
        <v>0</v>
      </c>
    </row>
    <row r="52" spans="1:9" s="166" customFormat="1" ht="14.4">
      <c r="A52" s="385"/>
      <c r="B52" s="171" t="s">
        <v>15</v>
      </c>
      <c r="C52" s="171"/>
      <c r="D52" s="261" t="s">
        <v>18</v>
      </c>
      <c r="E52" s="262">
        <v>90</v>
      </c>
      <c r="F52" s="271"/>
      <c r="G52" s="242">
        <f t="shared" si="1"/>
        <v>0</v>
      </c>
    </row>
    <row r="53" spans="1:9" s="166" customFormat="1" ht="14.4">
      <c r="A53" s="385"/>
      <c r="B53" s="171" t="s">
        <v>14</v>
      </c>
      <c r="C53" s="171"/>
      <c r="D53" s="261" t="s">
        <v>18</v>
      </c>
      <c r="E53" s="262">
        <v>60</v>
      </c>
      <c r="F53" s="271"/>
      <c r="G53" s="242"/>
    </row>
    <row r="54" spans="1:9" s="166" customFormat="1" ht="28.8">
      <c r="A54" s="384"/>
      <c r="B54" s="142" t="s">
        <v>148</v>
      </c>
      <c r="C54" s="171"/>
      <c r="D54" s="261"/>
      <c r="E54" s="262"/>
      <c r="F54" s="271"/>
      <c r="G54" s="242">
        <f t="shared" si="1"/>
        <v>0</v>
      </c>
    </row>
    <row r="55" spans="1:9" s="84" customFormat="1" ht="14.4">
      <c r="A55" s="360" t="s">
        <v>236</v>
      </c>
      <c r="B55" s="146" t="s">
        <v>138</v>
      </c>
      <c r="C55" s="146"/>
      <c r="D55" s="239"/>
      <c r="E55" s="240"/>
      <c r="F55" s="241"/>
      <c r="G55" s="242">
        <f t="shared" si="1"/>
        <v>0</v>
      </c>
      <c r="I55" s="85"/>
    </row>
    <row r="56" spans="1:9" s="84" customFormat="1" ht="14.4">
      <c r="A56" s="361"/>
      <c r="B56" s="145" t="s">
        <v>280</v>
      </c>
      <c r="C56" s="145"/>
      <c r="D56" s="239" t="s">
        <v>18</v>
      </c>
      <c r="E56" s="240">
        <v>150</v>
      </c>
      <c r="F56" s="241"/>
      <c r="G56" s="242">
        <f t="shared" si="1"/>
        <v>0</v>
      </c>
      <c r="I56" s="85"/>
    </row>
    <row r="57" spans="1:9" s="84" customFormat="1" ht="14.4">
      <c r="A57" s="361"/>
      <c r="B57" s="145" t="s">
        <v>281</v>
      </c>
      <c r="C57" s="145"/>
      <c r="D57" s="239" t="s">
        <v>18</v>
      </c>
      <c r="E57" s="240">
        <v>225</v>
      </c>
      <c r="F57" s="241"/>
      <c r="G57" s="242">
        <f t="shared" si="1"/>
        <v>0</v>
      </c>
      <c r="I57" s="85"/>
    </row>
    <row r="58" spans="1:9" s="84" customFormat="1" ht="28.8">
      <c r="A58" s="362"/>
      <c r="B58" s="254" t="s">
        <v>148</v>
      </c>
      <c r="C58" s="142"/>
      <c r="D58" s="239"/>
      <c r="E58" s="240"/>
      <c r="F58" s="241"/>
      <c r="G58" s="242">
        <f t="shared" si="1"/>
        <v>0</v>
      </c>
      <c r="I58" s="85"/>
    </row>
    <row r="59" spans="1:9" s="84" customFormat="1" ht="57.6">
      <c r="A59" s="386" t="s">
        <v>237</v>
      </c>
      <c r="B59" s="273" t="s">
        <v>282</v>
      </c>
      <c r="C59" s="375"/>
      <c r="D59" s="377"/>
      <c r="E59" s="379"/>
      <c r="F59" s="369"/>
      <c r="G59" s="381">
        <f t="shared" si="1"/>
        <v>0</v>
      </c>
      <c r="I59" s="85"/>
    </row>
    <row r="60" spans="1:9" s="84" customFormat="1" ht="28.8">
      <c r="A60" s="387"/>
      <c r="B60" s="274" t="s">
        <v>263</v>
      </c>
      <c r="C60" s="376"/>
      <c r="D60" s="378"/>
      <c r="E60" s="380"/>
      <c r="F60" s="371"/>
      <c r="G60" s="382"/>
      <c r="I60" s="85"/>
    </row>
    <row r="61" spans="1:9" s="84" customFormat="1" ht="14.4">
      <c r="A61" s="361"/>
      <c r="B61" s="272" t="s">
        <v>264</v>
      </c>
      <c r="C61" s="219"/>
      <c r="D61" s="239" t="s">
        <v>18</v>
      </c>
      <c r="E61" s="240">
        <v>60</v>
      </c>
      <c r="F61" s="241"/>
      <c r="G61" s="242">
        <f t="shared" si="1"/>
        <v>0</v>
      </c>
      <c r="I61" s="85"/>
    </row>
    <row r="62" spans="1:9" s="84" customFormat="1" ht="14.4">
      <c r="A62" s="362"/>
      <c r="B62" s="219" t="s">
        <v>265</v>
      </c>
      <c r="C62" s="219"/>
      <c r="D62" s="239" t="s">
        <v>18</v>
      </c>
      <c r="E62" s="240">
        <v>225</v>
      </c>
      <c r="F62" s="241"/>
      <c r="G62" s="242">
        <f t="shared" si="1"/>
        <v>0</v>
      </c>
      <c r="I62" s="85"/>
    </row>
    <row r="63" spans="1:9" s="172" customFormat="1" ht="43.2">
      <c r="A63" s="383" t="s">
        <v>238</v>
      </c>
      <c r="B63" s="168" t="s">
        <v>162</v>
      </c>
      <c r="C63" s="168"/>
      <c r="D63" s="261"/>
      <c r="E63" s="262"/>
      <c r="F63" s="263"/>
      <c r="G63" s="242">
        <f t="shared" si="1"/>
        <v>0</v>
      </c>
      <c r="H63" s="173"/>
      <c r="I63" s="173"/>
    </row>
    <row r="64" spans="1:9" s="172" customFormat="1" ht="14.4">
      <c r="A64" s="384"/>
      <c r="B64" s="174" t="s">
        <v>46</v>
      </c>
      <c r="C64" s="174"/>
      <c r="D64" s="261" t="s">
        <v>18</v>
      </c>
      <c r="E64" s="262">
        <v>60</v>
      </c>
      <c r="F64" s="263"/>
      <c r="G64" s="242">
        <f t="shared" si="1"/>
        <v>0</v>
      </c>
      <c r="H64" s="173"/>
      <c r="I64" s="173"/>
    </row>
    <row r="65" spans="1:9" s="166" customFormat="1" ht="43.2">
      <c r="A65" s="383" t="s">
        <v>239</v>
      </c>
      <c r="B65" s="171" t="s">
        <v>164</v>
      </c>
      <c r="C65" s="171"/>
      <c r="D65" s="169"/>
      <c r="E65" s="170"/>
      <c r="F65" s="87"/>
      <c r="G65" s="60">
        <f>E65*F65</f>
        <v>0</v>
      </c>
    </row>
    <row r="66" spans="1:9" s="166" customFormat="1" ht="14.4">
      <c r="A66" s="384"/>
      <c r="B66" s="171" t="s">
        <v>46</v>
      </c>
      <c r="C66" s="171"/>
      <c r="D66" s="169" t="s">
        <v>18</v>
      </c>
      <c r="E66" s="170">
        <v>60</v>
      </c>
      <c r="F66" s="87"/>
      <c r="G66" s="60">
        <f>E66*F66</f>
        <v>0</v>
      </c>
    </row>
    <row r="67" spans="1:9" s="175" customFormat="1" ht="43.2">
      <c r="A67" s="256" t="s">
        <v>240</v>
      </c>
      <c r="B67" s="63" t="s">
        <v>168</v>
      </c>
      <c r="C67" s="63"/>
      <c r="D67" s="275" t="s">
        <v>3</v>
      </c>
      <c r="E67" s="276">
        <v>45</v>
      </c>
      <c r="F67" s="263"/>
      <c r="G67" s="242">
        <f t="shared" si="1"/>
        <v>0</v>
      </c>
    </row>
    <row r="68" spans="1:9" s="84" customFormat="1" ht="28.8">
      <c r="A68" s="360" t="s">
        <v>241</v>
      </c>
      <c r="B68" s="62" t="s">
        <v>142</v>
      </c>
      <c r="C68" s="62"/>
      <c r="D68" s="277"/>
      <c r="E68" s="278"/>
      <c r="F68" s="281"/>
      <c r="G68" s="242">
        <f t="shared" si="1"/>
        <v>0</v>
      </c>
      <c r="I68" s="85"/>
    </row>
    <row r="69" spans="1:9" s="84" customFormat="1" ht="14.4">
      <c r="A69" s="361"/>
      <c r="B69" s="147" t="s">
        <v>163</v>
      </c>
      <c r="C69" s="147"/>
      <c r="D69" s="279" t="s">
        <v>0</v>
      </c>
      <c r="E69" s="280">
        <v>36</v>
      </c>
      <c r="F69" s="282"/>
      <c r="G69" s="242">
        <f>E69*F69</f>
        <v>0</v>
      </c>
      <c r="I69" s="85"/>
    </row>
    <row r="70" spans="1:9" s="84" customFormat="1" ht="14.4">
      <c r="A70" s="361"/>
      <c r="B70" s="147" t="s">
        <v>15</v>
      </c>
      <c r="C70" s="147"/>
      <c r="D70" s="279" t="s">
        <v>0</v>
      </c>
      <c r="E70" s="280">
        <v>18</v>
      </c>
      <c r="F70" s="282"/>
      <c r="G70" s="242">
        <f>E70*F70</f>
        <v>0</v>
      </c>
      <c r="I70" s="85"/>
    </row>
    <row r="71" spans="1:9" s="84" customFormat="1" ht="14.4">
      <c r="A71" s="361"/>
      <c r="B71" s="147" t="s">
        <v>14</v>
      </c>
      <c r="C71" s="147"/>
      <c r="D71" s="279" t="s">
        <v>0</v>
      </c>
      <c r="E71" s="280">
        <v>6</v>
      </c>
      <c r="F71" s="282"/>
      <c r="G71" s="242">
        <f>E71*F71</f>
        <v>0</v>
      </c>
      <c r="I71" s="85"/>
    </row>
    <row r="72" spans="1:9" s="84" customFormat="1" ht="14.4">
      <c r="A72" s="362"/>
      <c r="B72" s="147" t="s">
        <v>46</v>
      </c>
      <c r="C72" s="147"/>
      <c r="D72" s="279" t="s">
        <v>0</v>
      </c>
      <c r="E72" s="280">
        <v>6</v>
      </c>
      <c r="F72" s="283"/>
      <c r="G72" s="284">
        <f t="shared" si="1"/>
        <v>0</v>
      </c>
      <c r="I72" s="85"/>
    </row>
    <row r="73" spans="1:9" s="84" customFormat="1" ht="14.4">
      <c r="A73" s="238" t="s">
        <v>242</v>
      </c>
      <c r="B73" s="62" t="s">
        <v>139</v>
      </c>
      <c r="C73" s="62"/>
      <c r="D73" s="279" t="s">
        <v>17</v>
      </c>
      <c r="E73" s="280">
        <v>9</v>
      </c>
      <c r="F73" s="283"/>
      <c r="G73" s="284">
        <f t="shared" si="1"/>
        <v>0</v>
      </c>
      <c r="I73" s="85"/>
    </row>
    <row r="74" spans="1:9" s="84" customFormat="1" ht="14.4">
      <c r="A74" s="238" t="s">
        <v>243</v>
      </c>
      <c r="B74" s="62" t="s">
        <v>140</v>
      </c>
      <c r="C74" s="62"/>
      <c r="D74" s="279" t="s">
        <v>17</v>
      </c>
      <c r="E74" s="280">
        <v>3</v>
      </c>
      <c r="F74" s="283"/>
      <c r="G74" s="284">
        <f t="shared" si="1"/>
        <v>0</v>
      </c>
      <c r="I74" s="85"/>
    </row>
    <row r="75" spans="1:9" s="84" customFormat="1" ht="14.4">
      <c r="A75" s="238" t="s">
        <v>244</v>
      </c>
      <c r="B75" s="142" t="s">
        <v>141</v>
      </c>
      <c r="C75" s="142"/>
      <c r="D75" s="279" t="s">
        <v>17</v>
      </c>
      <c r="E75" s="280">
        <v>3</v>
      </c>
      <c r="F75" s="283"/>
      <c r="G75" s="284">
        <f t="shared" si="1"/>
        <v>0</v>
      </c>
      <c r="I75" s="85"/>
    </row>
    <row r="76" spans="1:9" ht="43.2">
      <c r="A76" s="255" t="s">
        <v>245</v>
      </c>
      <c r="B76" s="141" t="s">
        <v>143</v>
      </c>
      <c r="C76" s="141"/>
      <c r="D76" s="239" t="s">
        <v>12</v>
      </c>
      <c r="E76" s="240">
        <v>1</v>
      </c>
      <c r="F76" s="285"/>
      <c r="G76" s="284">
        <f t="shared" si="1"/>
        <v>0</v>
      </c>
    </row>
    <row r="77" spans="1:9" ht="28.8">
      <c r="A77" s="255" t="s">
        <v>246</v>
      </c>
      <c r="B77" s="141" t="s">
        <v>144</v>
      </c>
      <c r="C77" s="141"/>
      <c r="D77" s="239" t="s">
        <v>0</v>
      </c>
      <c r="E77" s="240">
        <v>9</v>
      </c>
      <c r="F77" s="285"/>
      <c r="G77" s="284">
        <f t="shared" si="1"/>
        <v>0</v>
      </c>
    </row>
    <row r="78" spans="1:9" ht="43.2">
      <c r="A78" s="255" t="s">
        <v>247</v>
      </c>
      <c r="B78" s="236" t="s">
        <v>154</v>
      </c>
      <c r="C78" s="141"/>
      <c r="D78" s="239" t="s">
        <v>12</v>
      </c>
      <c r="E78" s="240">
        <v>1</v>
      </c>
      <c r="F78" s="285"/>
      <c r="G78" s="284">
        <f t="shared" si="1"/>
        <v>0</v>
      </c>
    </row>
    <row r="79" spans="1:9" ht="43.2">
      <c r="A79" s="357" t="s">
        <v>248</v>
      </c>
      <c r="B79" s="236" t="s">
        <v>266</v>
      </c>
      <c r="C79" s="363"/>
      <c r="D79" s="366" t="s">
        <v>165</v>
      </c>
      <c r="E79" s="369">
        <v>100</v>
      </c>
      <c r="F79" s="372"/>
      <c r="G79" s="352">
        <f>E79*F79</f>
        <v>0</v>
      </c>
    </row>
    <row r="80" spans="1:9" ht="43.2">
      <c r="A80" s="358"/>
      <c r="B80" s="237" t="s">
        <v>267</v>
      </c>
      <c r="C80" s="364"/>
      <c r="D80" s="367"/>
      <c r="E80" s="370"/>
      <c r="F80" s="373"/>
      <c r="G80" s="353"/>
    </row>
    <row r="81" spans="1:7" ht="72">
      <c r="A81" s="359"/>
      <c r="B81" s="235" t="s">
        <v>268</v>
      </c>
      <c r="C81" s="365"/>
      <c r="D81" s="368"/>
      <c r="E81" s="371"/>
      <c r="F81" s="374"/>
      <c r="G81" s="354"/>
    </row>
    <row r="82" spans="1:7" ht="28.8">
      <c r="A82" s="255" t="s">
        <v>249</v>
      </c>
      <c r="B82" s="235" t="s">
        <v>145</v>
      </c>
      <c r="C82" s="141"/>
      <c r="D82" s="239" t="s">
        <v>12</v>
      </c>
      <c r="E82" s="240">
        <v>1</v>
      </c>
      <c r="F82" s="285"/>
      <c r="G82" s="284">
        <f t="shared" si="1"/>
        <v>0</v>
      </c>
    </row>
    <row r="83" spans="1:7" ht="43.2">
      <c r="A83" s="255" t="s">
        <v>250</v>
      </c>
      <c r="B83" s="61" t="s">
        <v>146</v>
      </c>
      <c r="C83" s="61"/>
      <c r="D83" s="239" t="s">
        <v>12</v>
      </c>
      <c r="E83" s="240">
        <v>1</v>
      </c>
      <c r="F83" s="285"/>
      <c r="G83" s="284">
        <f t="shared" si="1"/>
        <v>0</v>
      </c>
    </row>
    <row r="84" spans="1:7" ht="14.4">
      <c r="A84" s="148"/>
      <c r="B84" s="355" t="s">
        <v>269</v>
      </c>
      <c r="C84" s="355"/>
      <c r="D84" s="355"/>
      <c r="E84" s="355"/>
      <c r="F84" s="355"/>
      <c r="G84" s="355"/>
    </row>
    <row r="85" spans="1:7" ht="14.4">
      <c r="A85" s="148"/>
      <c r="B85" s="356" t="s">
        <v>270</v>
      </c>
      <c r="C85" s="356"/>
      <c r="D85" s="356"/>
      <c r="E85" s="356"/>
      <c r="F85" s="356"/>
      <c r="G85" s="356"/>
    </row>
    <row r="86" spans="1:7" ht="15" thickBot="1">
      <c r="A86" s="148"/>
      <c r="B86" s="161"/>
      <c r="C86" s="161"/>
      <c r="D86" s="149"/>
      <c r="E86" s="150"/>
      <c r="F86" s="150"/>
      <c r="G86" s="140"/>
    </row>
    <row r="87" spans="1:7" ht="16.2" thickBot="1">
      <c r="A87" s="162"/>
      <c r="B87" s="151" t="s">
        <v>8</v>
      </c>
      <c r="C87" s="222"/>
      <c r="D87" s="163"/>
      <c r="E87" s="164"/>
      <c r="F87" s="164"/>
      <c r="G87" s="178">
        <f>SUM(G5:G85)</f>
        <v>0</v>
      </c>
    </row>
  </sheetData>
  <mergeCells count="74">
    <mergeCell ref="G7:G11"/>
    <mergeCell ref="A5:A6"/>
    <mergeCell ref="C5:C6"/>
    <mergeCell ref="D5:D6"/>
    <mergeCell ref="E5:E6"/>
    <mergeCell ref="F5:F6"/>
    <mergeCell ref="G5:G6"/>
    <mergeCell ref="A7:A11"/>
    <mergeCell ref="C7:C11"/>
    <mergeCell ref="D7:D11"/>
    <mergeCell ref="E7:E11"/>
    <mergeCell ref="F7:F11"/>
    <mergeCell ref="G19:G22"/>
    <mergeCell ref="A12:A16"/>
    <mergeCell ref="C12:C16"/>
    <mergeCell ref="D12:D16"/>
    <mergeCell ref="E12:E16"/>
    <mergeCell ref="F12:F16"/>
    <mergeCell ref="G12:G16"/>
    <mergeCell ref="A19:A22"/>
    <mergeCell ref="C19:C22"/>
    <mergeCell ref="D19:D22"/>
    <mergeCell ref="E19:E22"/>
    <mergeCell ref="F19:F22"/>
    <mergeCell ref="A23:A29"/>
    <mergeCell ref="D23:D29"/>
    <mergeCell ref="E23:E29"/>
    <mergeCell ref="F23:F29"/>
    <mergeCell ref="G23:G29"/>
    <mergeCell ref="C23:C29"/>
    <mergeCell ref="G32:G34"/>
    <mergeCell ref="A30:A31"/>
    <mergeCell ref="D30:D31"/>
    <mergeCell ref="E30:E31"/>
    <mergeCell ref="F30:F31"/>
    <mergeCell ref="G30:G31"/>
    <mergeCell ref="C30:C31"/>
    <mergeCell ref="A32:A34"/>
    <mergeCell ref="D32:D34"/>
    <mergeCell ref="E32:E34"/>
    <mergeCell ref="C32:C34"/>
    <mergeCell ref="F32:F34"/>
    <mergeCell ref="G41:G42"/>
    <mergeCell ref="A35:A38"/>
    <mergeCell ref="C35:C38"/>
    <mergeCell ref="D35:D38"/>
    <mergeCell ref="E35:E38"/>
    <mergeCell ref="F35:F38"/>
    <mergeCell ref="G35:G38"/>
    <mergeCell ref="A41:A42"/>
    <mergeCell ref="C41:C42"/>
    <mergeCell ref="D41:D42"/>
    <mergeCell ref="E41:E42"/>
    <mergeCell ref="F41:F42"/>
    <mergeCell ref="A65:A66"/>
    <mergeCell ref="A49:A50"/>
    <mergeCell ref="A51:A54"/>
    <mergeCell ref="A55:A58"/>
    <mergeCell ref="A59:A62"/>
    <mergeCell ref="A63:A64"/>
    <mergeCell ref="C59:C60"/>
    <mergeCell ref="D59:D60"/>
    <mergeCell ref="E59:E60"/>
    <mergeCell ref="F59:F60"/>
    <mergeCell ref="G59:G60"/>
    <mergeCell ref="G79:G81"/>
    <mergeCell ref="B84:G84"/>
    <mergeCell ref="B85:G85"/>
    <mergeCell ref="A79:A81"/>
    <mergeCell ref="A68:A72"/>
    <mergeCell ref="C79:C81"/>
    <mergeCell ref="D79:D81"/>
    <mergeCell ref="E79:E81"/>
    <mergeCell ref="F79:F81"/>
  </mergeCells>
  <pageMargins left="0.91" right="0.59055118110236227" top="0.98425196850393704" bottom="0.98425196850393704" header="0.51181102362204722" footer="0.51181102362204722"/>
  <pageSetup paperSize="9" orientation="landscape" r:id="rId1"/>
  <headerFooter alignWithMargins="0">
    <oddHeader>&amp;C&amp;"-,Regular"PAVILJONI ''AD TURRES'', Dramalj, k.o. Crikvenica&amp;R&amp;"-,Regular"TD 2439/17</oddHeader>
    <oddFooter>&amp;CCITARA d.o.o.</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4"/>
  <dimension ref="A1:C8"/>
  <sheetViews>
    <sheetView showZeros="0" view="pageBreakPreview" zoomScaleNormal="120" zoomScaleSheetLayoutView="100" workbookViewId="0">
      <selection activeCell="C4" sqref="C4"/>
    </sheetView>
  </sheetViews>
  <sheetFormatPr defaultColWidth="9.21875" defaultRowHeight="13.8"/>
  <cols>
    <col min="1" max="1" width="9.21875" style="77"/>
    <col min="2" max="2" width="67.77734375" style="64" customWidth="1"/>
    <col min="3" max="3" width="18.44140625" style="56" customWidth="1"/>
    <col min="4" max="4" width="9.21875" style="3"/>
    <col min="5" max="5" width="9.5546875" style="3" customWidth="1"/>
    <col min="6" max="6" width="12.21875" style="3" customWidth="1"/>
    <col min="7" max="16384" width="9.21875" style="3"/>
  </cols>
  <sheetData>
    <row r="1" spans="1:3" s="2" customFormat="1" ht="34.5" customHeight="1" thickBot="1">
      <c r="A1" s="65"/>
      <c r="B1" s="57" t="s">
        <v>9</v>
      </c>
      <c r="C1" s="66" t="s">
        <v>11</v>
      </c>
    </row>
    <row r="2" spans="1:3" s="2" customFormat="1" ht="16.2" thickBot="1">
      <c r="A2" s="67"/>
      <c r="B2" s="58"/>
      <c r="C2" s="59"/>
    </row>
    <row r="3" spans="1:3" s="2" customFormat="1" ht="33.75" customHeight="1" thickBot="1">
      <c r="A3" s="68" t="s">
        <v>44</v>
      </c>
      <c r="B3" s="69" t="str">
        <f>GR_HL!B3</f>
        <v>INSTALACIJA GRIJANJA/HLAĐENJA</v>
      </c>
      <c r="C3" s="70">
        <f>GR_HL!G56</f>
        <v>0</v>
      </c>
    </row>
    <row r="4" spans="1:3" s="2" customFormat="1" ht="33.75" customHeight="1" thickBot="1">
      <c r="A4" s="68" t="s">
        <v>45</v>
      </c>
      <c r="B4" s="69" t="str">
        <f>SOLAR!B3</f>
        <v>SOLARNO GRIJANJE PTV-e</v>
      </c>
      <c r="C4" s="70">
        <f>SOLAR!G87</f>
        <v>0</v>
      </c>
    </row>
    <row r="5" spans="1:3" s="2" customFormat="1" ht="30" customHeight="1" thickBot="1">
      <c r="A5" s="71"/>
      <c r="B5" s="72"/>
      <c r="C5" s="73"/>
    </row>
    <row r="6" spans="1:3" ht="30" customHeight="1" thickBot="1">
      <c r="A6" s="74"/>
      <c r="B6" s="75" t="s">
        <v>8</v>
      </c>
      <c r="C6" s="76">
        <f>SUM(C3:C4)</f>
        <v>0</v>
      </c>
    </row>
    <row r="7" spans="1:3" ht="30" customHeight="1" thickBot="1">
      <c r="A7" s="74"/>
      <c r="B7" s="75" t="s">
        <v>271</v>
      </c>
      <c r="C7" s="76">
        <f>C6*0.25</f>
        <v>0</v>
      </c>
    </row>
    <row r="8" spans="1:3" ht="30" customHeight="1" thickBot="1">
      <c r="A8" s="74"/>
      <c r="B8" s="75" t="s">
        <v>272</v>
      </c>
      <c r="C8" s="76">
        <f>C6+C7</f>
        <v>0</v>
      </c>
    </row>
  </sheetData>
  <phoneticPr fontId="0" type="noConversion"/>
  <pageMargins left="0.91" right="0.59055118110236227" top="0.98425196850393704" bottom="0.98425196850393704" header="0.51181102362204722" footer="0.51181102362204722"/>
  <pageSetup paperSize="9" scale="88" orientation="portrait" r:id="rId1"/>
  <headerFooter alignWithMargins="0">
    <oddHeader>&amp;C&amp;"-,Regular"PAVILJONI ''AD TURRES'', Dramalj, k.o. Crikvenica&amp;R&amp;"-,Regular"TD 2439/17</oddHeader>
    <oddFooter>&amp;CCITARA d.o.o.</oddFooter>
  </headerFooter>
  <customProperties>
    <customPr name="DVSECTION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dimension ref="A1:IV40"/>
  <sheetViews>
    <sheetView workbookViewId="0">
      <selection activeCell="BX40" sqref="BX40"/>
    </sheetView>
  </sheetViews>
  <sheetFormatPr defaultRowHeight="13.2"/>
  <sheetData>
    <row r="1" spans="1:256">
      <c r="A1">
        <f>IF(Naslovnica!1:1,"AAAAACN75QA=",0)</f>
        <v>0</v>
      </c>
      <c r="B1" t="e">
        <f>AND(Naslovnica!A1,"AAAAACN75QE=")</f>
        <v>#VALUE!</v>
      </c>
      <c r="C1" t="e">
        <f>AND(Naslovnica!B1,"AAAAACN75QI=")</f>
        <v>#VALUE!</v>
      </c>
      <c r="D1" t="e">
        <f>AND(Naslovnica!C1,"AAAAACN75QM=")</f>
        <v>#VALUE!</v>
      </c>
      <c r="E1" t="e">
        <f>AND(Naslovnica!D1,"AAAAACN75QQ=")</f>
        <v>#VALUE!</v>
      </c>
      <c r="F1" t="e">
        <f>AND(Naslovnica!E1,"AAAAACN75QU=")</f>
        <v>#VALUE!</v>
      </c>
      <c r="G1" t="e">
        <f>AND(Naslovnica!F1,"AAAAACN75QY=")</f>
        <v>#VALUE!</v>
      </c>
      <c r="H1" t="e">
        <f>AND(Naslovnica!G1,"AAAAACN75Qc=")</f>
        <v>#VALUE!</v>
      </c>
      <c r="I1" t="e">
        <f>AND(Naslovnica!H1,"AAAAACN75Qg=")</f>
        <v>#VALUE!</v>
      </c>
      <c r="J1" t="e">
        <f>AND(Naslovnica!I1,"AAAAACN75Qk=")</f>
        <v>#VALUE!</v>
      </c>
      <c r="K1" t="e">
        <f>AND(Naslovnica!J1,"AAAAACN75Qo=")</f>
        <v>#VALUE!</v>
      </c>
      <c r="L1" t="e">
        <f>AND(Naslovnica!K1,"AAAAACN75Qs=")</f>
        <v>#VALUE!</v>
      </c>
      <c r="M1" t="e">
        <f>AND(Naslovnica!L1,"AAAAACN75Qw=")</f>
        <v>#VALUE!</v>
      </c>
      <c r="N1" t="e">
        <f>AND(Naslovnica!M1,"AAAAACN75Q0=")</f>
        <v>#VALUE!</v>
      </c>
      <c r="O1">
        <f>IF(Naslovnica!2:2,"AAAAACN75Q4=",0)</f>
        <v>0</v>
      </c>
      <c r="P1" t="e">
        <f>AND(Naslovnica!A2,"AAAAACN75Q8=")</f>
        <v>#VALUE!</v>
      </c>
      <c r="Q1" t="e">
        <f>AND(Naslovnica!B2,"AAAAACN75RA=")</f>
        <v>#VALUE!</v>
      </c>
      <c r="R1" t="e">
        <f>AND(Naslovnica!C2,"AAAAACN75RE=")</f>
        <v>#VALUE!</v>
      </c>
      <c r="S1" t="e">
        <f>AND(Naslovnica!D2,"AAAAACN75RI=")</f>
        <v>#VALUE!</v>
      </c>
      <c r="T1" t="e">
        <f>AND(Naslovnica!E2,"AAAAACN75RM=")</f>
        <v>#VALUE!</v>
      </c>
      <c r="U1" t="e">
        <f>AND(Naslovnica!F2,"AAAAACN75RQ=")</f>
        <v>#VALUE!</v>
      </c>
      <c r="V1" t="e">
        <f>AND(Naslovnica!G2,"AAAAACN75RU=")</f>
        <v>#VALUE!</v>
      </c>
      <c r="W1" t="e">
        <f>AND(Naslovnica!H2,"AAAAACN75RY=")</f>
        <v>#VALUE!</v>
      </c>
      <c r="X1" t="e">
        <f>AND(Naslovnica!I2,"AAAAACN75Rc=")</f>
        <v>#VALUE!</v>
      </c>
      <c r="Y1" t="e">
        <f>AND(Naslovnica!J2,"AAAAACN75Rg=")</f>
        <v>#VALUE!</v>
      </c>
      <c r="Z1" t="e">
        <f>AND(Naslovnica!K2,"AAAAACN75Rk=")</f>
        <v>#VALUE!</v>
      </c>
      <c r="AA1" t="e">
        <f>AND(Naslovnica!L2,"AAAAACN75Ro=")</f>
        <v>#VALUE!</v>
      </c>
      <c r="AB1" t="e">
        <f>AND(Naslovnica!M2,"AAAAACN75Rs=")</f>
        <v>#VALUE!</v>
      </c>
      <c r="AC1">
        <f>IF(Naslovnica!3:3,"AAAAACN75Rw=",0)</f>
        <v>0</v>
      </c>
      <c r="AD1" t="e">
        <f>AND(Naslovnica!A3,"AAAAACN75R0=")</f>
        <v>#VALUE!</v>
      </c>
      <c r="AE1" t="e">
        <f>AND(Naslovnica!B3,"AAAAACN75R4=")</f>
        <v>#VALUE!</v>
      </c>
      <c r="AF1" t="e">
        <f>AND(Naslovnica!C3,"AAAAACN75R8=")</f>
        <v>#VALUE!</v>
      </c>
      <c r="AG1" t="e">
        <f>AND(Naslovnica!D3,"AAAAACN75SA=")</f>
        <v>#VALUE!</v>
      </c>
      <c r="AH1" t="e">
        <f>AND(Naslovnica!E3,"AAAAACN75SE=")</f>
        <v>#VALUE!</v>
      </c>
      <c r="AI1" t="e">
        <f>AND(Naslovnica!F3,"AAAAACN75SI=")</f>
        <v>#VALUE!</v>
      </c>
      <c r="AJ1" t="e">
        <f>AND(Naslovnica!G3,"AAAAACN75SM=")</f>
        <v>#VALUE!</v>
      </c>
      <c r="AK1" t="e">
        <f>AND(Naslovnica!H3,"AAAAACN75SQ=")</f>
        <v>#VALUE!</v>
      </c>
      <c r="AL1" t="e">
        <f>AND(Naslovnica!I3,"AAAAACN75SU=")</f>
        <v>#VALUE!</v>
      </c>
      <c r="AM1" t="e">
        <f>AND(Naslovnica!J3,"AAAAACN75SY=")</f>
        <v>#VALUE!</v>
      </c>
      <c r="AN1" t="e">
        <f>AND(Naslovnica!K3,"AAAAACN75Sc=")</f>
        <v>#VALUE!</v>
      </c>
      <c r="AO1" t="e">
        <f>AND(Naslovnica!L3,"AAAAACN75Sg=")</f>
        <v>#VALUE!</v>
      </c>
      <c r="AP1" t="e">
        <f>AND(Naslovnica!M3,"AAAAACN75Sk=")</f>
        <v>#VALUE!</v>
      </c>
      <c r="AQ1">
        <f>IF(Naslovnica!4:4,"AAAAACN75So=",0)</f>
        <v>0</v>
      </c>
      <c r="AR1" t="e">
        <f>AND(Naslovnica!A4,"AAAAACN75Ss=")</f>
        <v>#VALUE!</v>
      </c>
      <c r="AS1" t="e">
        <f>AND(Naslovnica!B4,"AAAAACN75Sw=")</f>
        <v>#VALUE!</v>
      </c>
      <c r="AT1" t="e">
        <f>AND(Naslovnica!C4,"AAAAACN75S0=")</f>
        <v>#VALUE!</v>
      </c>
      <c r="AU1" t="e">
        <f>AND(Naslovnica!D4,"AAAAACN75S4=")</f>
        <v>#VALUE!</v>
      </c>
      <c r="AV1" t="e">
        <f>AND(Naslovnica!E4,"AAAAACN75S8=")</f>
        <v>#VALUE!</v>
      </c>
      <c r="AW1" t="e">
        <f>AND(Naslovnica!F4,"AAAAACN75TA=")</f>
        <v>#VALUE!</v>
      </c>
      <c r="AX1" t="e">
        <f>AND(Naslovnica!G4,"AAAAACN75TE=")</f>
        <v>#VALUE!</v>
      </c>
      <c r="AY1" t="e">
        <f>AND(Naslovnica!H4,"AAAAACN75TI=")</f>
        <v>#VALUE!</v>
      </c>
      <c r="AZ1" t="e">
        <f>AND(Naslovnica!I4,"AAAAACN75TM=")</f>
        <v>#VALUE!</v>
      </c>
      <c r="BA1" t="e">
        <f>AND(Naslovnica!J4,"AAAAACN75TQ=")</f>
        <v>#VALUE!</v>
      </c>
      <c r="BB1" t="e">
        <f>AND(Naslovnica!K4,"AAAAACN75TU=")</f>
        <v>#VALUE!</v>
      </c>
      <c r="BC1" t="e">
        <f>AND(Naslovnica!L4,"AAAAACN75TY=")</f>
        <v>#VALUE!</v>
      </c>
      <c r="BD1" t="e">
        <f>AND(Naslovnica!M4,"AAAAACN75Tc=")</f>
        <v>#VALUE!</v>
      </c>
      <c r="BE1">
        <f>IF(Naslovnica!5:5,"AAAAACN75Tg=",0)</f>
        <v>0</v>
      </c>
      <c r="BF1" t="e">
        <f>AND(Naslovnica!A5,"AAAAACN75Tk=")</f>
        <v>#VALUE!</v>
      </c>
      <c r="BG1" t="e">
        <f>AND(Naslovnica!B5,"AAAAACN75To=")</f>
        <v>#VALUE!</v>
      </c>
      <c r="BH1" t="e">
        <f>AND(Naslovnica!C5,"AAAAACN75Ts=")</f>
        <v>#VALUE!</v>
      </c>
      <c r="BI1" t="e">
        <f>AND(Naslovnica!D5,"AAAAACN75Tw=")</f>
        <v>#VALUE!</v>
      </c>
      <c r="BJ1" t="e">
        <f>AND(Naslovnica!E5,"AAAAACN75T0=")</f>
        <v>#VALUE!</v>
      </c>
      <c r="BK1" t="e">
        <f>AND(Naslovnica!F5,"AAAAACN75T4=")</f>
        <v>#VALUE!</v>
      </c>
      <c r="BL1" t="e">
        <f>AND(Naslovnica!G5,"AAAAACN75T8=")</f>
        <v>#VALUE!</v>
      </c>
      <c r="BM1" t="e">
        <f>AND(Naslovnica!H5,"AAAAACN75UA=")</f>
        <v>#VALUE!</v>
      </c>
      <c r="BN1" t="e">
        <f>AND(Naslovnica!I5,"AAAAACN75UE=")</f>
        <v>#VALUE!</v>
      </c>
      <c r="BO1" t="e">
        <f>AND(Naslovnica!J5,"AAAAACN75UI=")</f>
        <v>#VALUE!</v>
      </c>
      <c r="BP1" t="e">
        <f>AND(Naslovnica!K5,"AAAAACN75UM=")</f>
        <v>#VALUE!</v>
      </c>
      <c r="BQ1" t="e">
        <f>AND(Naslovnica!L5,"AAAAACN75UQ=")</f>
        <v>#VALUE!</v>
      </c>
      <c r="BR1" t="e">
        <f>AND(Naslovnica!M5,"AAAAACN75UU=")</f>
        <v>#VALUE!</v>
      </c>
      <c r="BS1">
        <f>IF(Naslovnica!6:6,"AAAAACN75UY=",0)</f>
        <v>0</v>
      </c>
      <c r="BT1" t="e">
        <f>AND(Naslovnica!A6,"AAAAACN75Uc=")</f>
        <v>#VALUE!</v>
      </c>
      <c r="BU1" t="e">
        <f>AND(Naslovnica!B6,"AAAAACN75Ug=")</f>
        <v>#VALUE!</v>
      </c>
      <c r="BV1" t="e">
        <f>AND(Naslovnica!C6,"AAAAACN75Uk=")</f>
        <v>#VALUE!</v>
      </c>
      <c r="BW1" t="e">
        <f>AND(Naslovnica!D6,"AAAAACN75Uo=")</f>
        <v>#VALUE!</v>
      </c>
      <c r="BX1" t="e">
        <f>AND(Naslovnica!E6,"AAAAACN75Us=")</f>
        <v>#VALUE!</v>
      </c>
      <c r="BY1" t="e">
        <f>AND(Naslovnica!F6,"AAAAACN75Uw=")</f>
        <v>#VALUE!</v>
      </c>
      <c r="BZ1" t="e">
        <f>AND(Naslovnica!G6,"AAAAACN75U0=")</f>
        <v>#VALUE!</v>
      </c>
      <c r="CA1" t="e">
        <f>AND(Naslovnica!H6,"AAAAACN75U4=")</f>
        <v>#VALUE!</v>
      </c>
      <c r="CB1" t="e">
        <f>AND(Naslovnica!I6,"AAAAACN75U8=")</f>
        <v>#VALUE!</v>
      </c>
      <c r="CC1" t="e">
        <f>AND(Naslovnica!J6,"AAAAACN75VA=")</f>
        <v>#VALUE!</v>
      </c>
      <c r="CD1" t="e">
        <f>AND(Naslovnica!K6,"AAAAACN75VE=")</f>
        <v>#VALUE!</v>
      </c>
      <c r="CE1" t="e">
        <f>AND(Naslovnica!L6,"AAAAACN75VI=")</f>
        <v>#VALUE!</v>
      </c>
      <c r="CF1" t="e">
        <f>AND(Naslovnica!M6,"AAAAACN75VM=")</f>
        <v>#VALUE!</v>
      </c>
      <c r="CG1">
        <f>IF(Naslovnica!7:7,"AAAAACN75VQ=",0)</f>
        <v>0</v>
      </c>
      <c r="CH1" t="e">
        <f>AND(Naslovnica!A7,"AAAAACN75VU=")</f>
        <v>#VALUE!</v>
      </c>
      <c r="CI1" t="e">
        <f>AND(Naslovnica!B7,"AAAAACN75VY=")</f>
        <v>#VALUE!</v>
      </c>
      <c r="CJ1" t="e">
        <f>AND(Naslovnica!C7,"AAAAACN75Vc=")</f>
        <v>#VALUE!</v>
      </c>
      <c r="CK1" t="e">
        <f>AND(Naslovnica!D7,"AAAAACN75Vg=")</f>
        <v>#VALUE!</v>
      </c>
      <c r="CL1" t="e">
        <f>AND(Naslovnica!E7,"AAAAACN75Vk=")</f>
        <v>#VALUE!</v>
      </c>
      <c r="CM1" t="e">
        <f>AND(Naslovnica!F7,"AAAAACN75Vo=")</f>
        <v>#VALUE!</v>
      </c>
      <c r="CN1" t="e">
        <f>AND(Naslovnica!G7,"AAAAACN75Vs=")</f>
        <v>#VALUE!</v>
      </c>
      <c r="CO1" t="e">
        <f>AND(Naslovnica!H7,"AAAAACN75Vw=")</f>
        <v>#VALUE!</v>
      </c>
      <c r="CP1" t="e">
        <f>AND(Naslovnica!I7,"AAAAACN75V0=")</f>
        <v>#VALUE!</v>
      </c>
      <c r="CQ1" t="e">
        <f>AND(Naslovnica!J7,"AAAAACN75V4=")</f>
        <v>#VALUE!</v>
      </c>
      <c r="CR1" t="e">
        <f>AND(Naslovnica!K7,"AAAAACN75V8=")</f>
        <v>#VALUE!</v>
      </c>
      <c r="CS1" t="e">
        <f>AND(Naslovnica!L7,"AAAAACN75WA=")</f>
        <v>#VALUE!</v>
      </c>
      <c r="CT1" t="e">
        <f>AND(Naslovnica!M7,"AAAAACN75WE=")</f>
        <v>#VALUE!</v>
      </c>
      <c r="CU1">
        <f>IF(Naslovnica!8:8,"AAAAACN75WI=",0)</f>
        <v>0</v>
      </c>
      <c r="CV1" t="e">
        <f>AND(Naslovnica!A8,"AAAAACN75WM=")</f>
        <v>#VALUE!</v>
      </c>
      <c r="CW1" t="e">
        <f>AND(Naslovnica!B8,"AAAAACN75WQ=")</f>
        <v>#VALUE!</v>
      </c>
      <c r="CX1" t="e">
        <f>AND(Naslovnica!C8,"AAAAACN75WU=")</f>
        <v>#VALUE!</v>
      </c>
      <c r="CY1" t="e">
        <f>AND(Naslovnica!D8,"AAAAACN75WY=")</f>
        <v>#VALUE!</v>
      </c>
      <c r="CZ1" t="e">
        <f>AND(Naslovnica!E8,"AAAAACN75Wc=")</f>
        <v>#VALUE!</v>
      </c>
      <c r="DA1" t="e">
        <f>AND(Naslovnica!F8,"AAAAACN75Wg=")</f>
        <v>#VALUE!</v>
      </c>
      <c r="DB1" t="e">
        <f>AND(Naslovnica!G8,"AAAAACN75Wk=")</f>
        <v>#VALUE!</v>
      </c>
      <c r="DC1" t="e">
        <f>AND(Naslovnica!H8,"AAAAACN75Wo=")</f>
        <v>#VALUE!</v>
      </c>
      <c r="DD1" t="e">
        <f>AND(Naslovnica!I8,"AAAAACN75Ws=")</f>
        <v>#VALUE!</v>
      </c>
      <c r="DE1" t="e">
        <f>AND(Naslovnica!J8,"AAAAACN75Ww=")</f>
        <v>#VALUE!</v>
      </c>
      <c r="DF1" t="e">
        <f>AND(Naslovnica!K8,"AAAAACN75W0=")</f>
        <v>#VALUE!</v>
      </c>
      <c r="DG1" t="e">
        <f>AND(Naslovnica!L8,"AAAAACN75W4=")</f>
        <v>#VALUE!</v>
      </c>
      <c r="DH1" t="e">
        <f>AND(Naslovnica!M8,"AAAAACN75W8=")</f>
        <v>#VALUE!</v>
      </c>
      <c r="DI1">
        <f>IF(Naslovnica!9:9,"AAAAACN75XA=",0)</f>
        <v>0</v>
      </c>
      <c r="DJ1" t="e">
        <f>AND(Naslovnica!A9,"AAAAACN75XE=")</f>
        <v>#VALUE!</v>
      </c>
      <c r="DK1" t="e">
        <f>AND(Naslovnica!B9,"AAAAACN75XI=")</f>
        <v>#VALUE!</v>
      </c>
      <c r="DL1" t="e">
        <f>AND(Naslovnica!C9,"AAAAACN75XM=")</f>
        <v>#VALUE!</v>
      </c>
      <c r="DM1" t="e">
        <f>AND(Naslovnica!D9,"AAAAACN75XQ=")</f>
        <v>#VALUE!</v>
      </c>
      <c r="DN1" t="e">
        <f>AND(Naslovnica!E9,"AAAAACN75XU=")</f>
        <v>#VALUE!</v>
      </c>
      <c r="DO1" t="e">
        <f>AND(Naslovnica!F9,"AAAAACN75XY=")</f>
        <v>#VALUE!</v>
      </c>
      <c r="DP1" t="e">
        <f>AND(Naslovnica!G9,"AAAAACN75Xc=")</f>
        <v>#VALUE!</v>
      </c>
      <c r="DQ1" t="e">
        <f>AND(Naslovnica!H9,"AAAAACN75Xg=")</f>
        <v>#VALUE!</v>
      </c>
      <c r="DR1" t="e">
        <f>AND(Naslovnica!I9,"AAAAACN75Xk=")</f>
        <v>#VALUE!</v>
      </c>
      <c r="DS1" t="e">
        <f>AND(Naslovnica!J9,"AAAAACN75Xo=")</f>
        <v>#VALUE!</v>
      </c>
      <c r="DT1" t="e">
        <f>AND(Naslovnica!K9,"AAAAACN75Xs=")</f>
        <v>#VALUE!</v>
      </c>
      <c r="DU1" t="e">
        <f>AND(Naslovnica!L9,"AAAAACN75Xw=")</f>
        <v>#VALUE!</v>
      </c>
      <c r="DV1" t="e">
        <f>AND(Naslovnica!M9,"AAAAACN75X0=")</f>
        <v>#VALUE!</v>
      </c>
      <c r="DW1">
        <f>IF(Naslovnica!10:10,"AAAAACN75X4=",0)</f>
        <v>0</v>
      </c>
      <c r="DX1" t="e">
        <f>AND(Naslovnica!A10,"AAAAACN75X8=")</f>
        <v>#VALUE!</v>
      </c>
      <c r="DY1" t="e">
        <f>AND(Naslovnica!B10,"AAAAACN75YA=")</f>
        <v>#VALUE!</v>
      </c>
      <c r="DZ1" t="e">
        <f>AND(Naslovnica!C10,"AAAAACN75YE=")</f>
        <v>#VALUE!</v>
      </c>
      <c r="EA1" t="e">
        <f>AND(Naslovnica!D10,"AAAAACN75YI=")</f>
        <v>#VALUE!</v>
      </c>
      <c r="EB1" t="e">
        <f>AND(Naslovnica!E10,"AAAAACN75YM=")</f>
        <v>#VALUE!</v>
      </c>
      <c r="EC1" t="e">
        <f>AND(Naslovnica!F10,"AAAAACN75YQ=")</f>
        <v>#VALUE!</v>
      </c>
      <c r="ED1" t="e">
        <f>AND(Naslovnica!G10,"AAAAACN75YU=")</f>
        <v>#VALUE!</v>
      </c>
      <c r="EE1" t="e">
        <f>AND(Naslovnica!H10,"AAAAACN75YY=")</f>
        <v>#VALUE!</v>
      </c>
      <c r="EF1" t="e">
        <f>AND(Naslovnica!I10,"AAAAACN75Yc=")</f>
        <v>#VALUE!</v>
      </c>
      <c r="EG1" t="e">
        <f>AND(Naslovnica!J10,"AAAAACN75Yg=")</f>
        <v>#VALUE!</v>
      </c>
      <c r="EH1" t="e">
        <f>AND(Naslovnica!K10,"AAAAACN75Yk=")</f>
        <v>#VALUE!</v>
      </c>
      <c r="EI1" t="e">
        <f>AND(Naslovnica!L10,"AAAAACN75Yo=")</f>
        <v>#VALUE!</v>
      </c>
      <c r="EJ1" t="e">
        <f>AND(Naslovnica!M10,"AAAAACN75Ys=")</f>
        <v>#VALUE!</v>
      </c>
      <c r="EK1">
        <f>IF(Naslovnica!11:11,"AAAAACN75Yw=",0)</f>
        <v>0</v>
      </c>
      <c r="EL1" t="e">
        <f>AND(Naslovnica!A11,"AAAAACN75Y0=")</f>
        <v>#VALUE!</v>
      </c>
      <c r="EM1" t="e">
        <f>AND(Naslovnica!B11,"AAAAACN75Y4=")</f>
        <v>#VALUE!</v>
      </c>
      <c r="EN1" t="e">
        <f>AND(Naslovnica!C11,"AAAAACN75Y8=")</f>
        <v>#VALUE!</v>
      </c>
      <c r="EO1" t="e">
        <f>AND(Naslovnica!D11,"AAAAACN75ZA=")</f>
        <v>#VALUE!</v>
      </c>
      <c r="EP1" t="e">
        <f>AND(Naslovnica!E11,"AAAAACN75ZE=")</f>
        <v>#VALUE!</v>
      </c>
      <c r="EQ1" t="e">
        <f>AND(Naslovnica!F11,"AAAAACN75ZI=")</f>
        <v>#VALUE!</v>
      </c>
      <c r="ER1" t="e">
        <f>AND(Naslovnica!G11,"AAAAACN75ZM=")</f>
        <v>#VALUE!</v>
      </c>
      <c r="ES1" t="e">
        <f>AND(Naslovnica!H11,"AAAAACN75ZQ=")</f>
        <v>#VALUE!</v>
      </c>
      <c r="ET1" t="e">
        <f>AND(Naslovnica!I11,"AAAAACN75ZU=")</f>
        <v>#VALUE!</v>
      </c>
      <c r="EU1" t="e">
        <f>AND(Naslovnica!J11,"AAAAACN75ZY=")</f>
        <v>#VALUE!</v>
      </c>
      <c r="EV1" t="e">
        <f>AND(Naslovnica!K11,"AAAAACN75Zc=")</f>
        <v>#VALUE!</v>
      </c>
      <c r="EW1" t="e">
        <f>AND(Naslovnica!L11,"AAAAACN75Zg=")</f>
        <v>#VALUE!</v>
      </c>
      <c r="EX1" t="e">
        <f>AND(Naslovnica!M11,"AAAAACN75Zk=")</f>
        <v>#VALUE!</v>
      </c>
      <c r="EY1">
        <f>IF(Naslovnica!12:12,"AAAAACN75Zo=",0)</f>
        <v>0</v>
      </c>
      <c r="EZ1" t="e">
        <f>AND(Naslovnica!A12,"AAAAACN75Zs=")</f>
        <v>#VALUE!</v>
      </c>
      <c r="FA1" t="e">
        <f>AND(Naslovnica!B12,"AAAAACN75Zw=")</f>
        <v>#VALUE!</v>
      </c>
      <c r="FB1" t="e">
        <f>AND(Naslovnica!C12,"AAAAACN75Z0=")</f>
        <v>#VALUE!</v>
      </c>
      <c r="FC1" t="e">
        <f>AND(Naslovnica!D12,"AAAAACN75Z4=")</f>
        <v>#VALUE!</v>
      </c>
      <c r="FD1" t="e">
        <f>AND(Naslovnica!E12,"AAAAACN75Z8=")</f>
        <v>#VALUE!</v>
      </c>
      <c r="FE1" t="e">
        <f>AND(Naslovnica!F12,"AAAAACN75aA=")</f>
        <v>#VALUE!</v>
      </c>
      <c r="FF1" t="e">
        <f>AND(Naslovnica!G12,"AAAAACN75aE=")</f>
        <v>#VALUE!</v>
      </c>
      <c r="FG1" t="e">
        <f>AND(Naslovnica!H12,"AAAAACN75aI=")</f>
        <v>#VALUE!</v>
      </c>
      <c r="FH1" t="e">
        <f>AND(Naslovnica!I12,"AAAAACN75aM=")</f>
        <v>#VALUE!</v>
      </c>
      <c r="FI1" t="e">
        <f>AND(Naslovnica!J12,"AAAAACN75aQ=")</f>
        <v>#VALUE!</v>
      </c>
      <c r="FJ1" t="e">
        <f>AND(Naslovnica!K12,"AAAAACN75aU=")</f>
        <v>#VALUE!</v>
      </c>
      <c r="FK1" t="e">
        <f>AND(Naslovnica!L12,"AAAAACN75aY=")</f>
        <v>#VALUE!</v>
      </c>
      <c r="FL1" t="e">
        <f>AND(Naslovnica!M12,"AAAAACN75ac=")</f>
        <v>#VALUE!</v>
      </c>
      <c r="FM1">
        <f>IF(Naslovnica!13:13,"AAAAACN75ag=",0)</f>
        <v>0</v>
      </c>
      <c r="FN1" t="e">
        <f>AND(Naslovnica!A13,"AAAAACN75ak=")</f>
        <v>#VALUE!</v>
      </c>
      <c r="FO1" t="e">
        <f>AND(Naslovnica!B13,"AAAAACN75ao=")</f>
        <v>#VALUE!</v>
      </c>
      <c r="FP1" t="e">
        <f>AND(Naslovnica!C13,"AAAAACN75as=")</f>
        <v>#VALUE!</v>
      </c>
      <c r="FQ1" t="e">
        <f>AND(Naslovnica!D13,"AAAAACN75aw=")</f>
        <v>#VALUE!</v>
      </c>
      <c r="FR1" t="e">
        <f>AND(Naslovnica!E13,"AAAAACN75a0=")</f>
        <v>#VALUE!</v>
      </c>
      <c r="FS1" t="e">
        <f>AND(Naslovnica!F13,"AAAAACN75a4=")</f>
        <v>#VALUE!</v>
      </c>
      <c r="FT1" t="e">
        <f>AND(Naslovnica!G13,"AAAAACN75a8=")</f>
        <v>#VALUE!</v>
      </c>
      <c r="FU1" t="e">
        <f>AND(Naslovnica!H13,"AAAAACN75bA=")</f>
        <v>#VALUE!</v>
      </c>
      <c r="FV1" t="e">
        <f>AND(Naslovnica!I13,"AAAAACN75bE=")</f>
        <v>#VALUE!</v>
      </c>
      <c r="FW1" t="e">
        <f>AND(Naslovnica!J13,"AAAAACN75bI=")</f>
        <v>#VALUE!</v>
      </c>
      <c r="FX1" t="e">
        <f>AND(Naslovnica!K13,"AAAAACN75bM=")</f>
        <v>#VALUE!</v>
      </c>
      <c r="FY1" t="e">
        <f>AND(Naslovnica!L13,"AAAAACN75bQ=")</f>
        <v>#VALUE!</v>
      </c>
      <c r="FZ1" t="e">
        <f>AND(Naslovnica!M13,"AAAAACN75bU=")</f>
        <v>#VALUE!</v>
      </c>
      <c r="GA1">
        <f>IF(Naslovnica!14:14,"AAAAACN75bY=",0)</f>
        <v>0</v>
      </c>
      <c r="GB1" t="e">
        <f>AND(Naslovnica!A14,"AAAAACN75bc=")</f>
        <v>#VALUE!</v>
      </c>
      <c r="GC1" t="e">
        <f>AND(Naslovnica!B14,"AAAAACN75bg=")</f>
        <v>#VALUE!</v>
      </c>
      <c r="GD1" t="e">
        <f>AND(Naslovnica!C14,"AAAAACN75bk=")</f>
        <v>#VALUE!</v>
      </c>
      <c r="GE1" t="e">
        <f>AND(Naslovnica!D14,"AAAAACN75bo=")</f>
        <v>#VALUE!</v>
      </c>
      <c r="GF1" t="e">
        <f>AND(Naslovnica!E14,"AAAAACN75bs=")</f>
        <v>#VALUE!</v>
      </c>
      <c r="GG1" t="e">
        <f>AND(Naslovnica!F14,"AAAAACN75bw=")</f>
        <v>#VALUE!</v>
      </c>
      <c r="GH1" t="e">
        <f>AND(Naslovnica!G14,"AAAAACN75b0=")</f>
        <v>#VALUE!</v>
      </c>
      <c r="GI1" t="e">
        <f>AND(Naslovnica!H14,"AAAAACN75b4=")</f>
        <v>#VALUE!</v>
      </c>
      <c r="GJ1" t="e">
        <f>AND(Naslovnica!I14,"AAAAACN75b8=")</f>
        <v>#VALUE!</v>
      </c>
      <c r="GK1" t="e">
        <f>AND(Naslovnica!J14,"AAAAACN75cA=")</f>
        <v>#VALUE!</v>
      </c>
      <c r="GL1" t="e">
        <f>AND(Naslovnica!K14,"AAAAACN75cE=")</f>
        <v>#VALUE!</v>
      </c>
      <c r="GM1" t="e">
        <f>AND(Naslovnica!L14,"AAAAACN75cI=")</f>
        <v>#VALUE!</v>
      </c>
      <c r="GN1" t="e">
        <f>AND(Naslovnica!M14,"AAAAACN75cM=")</f>
        <v>#VALUE!</v>
      </c>
      <c r="GO1">
        <f>IF(Naslovnica!15:15,"AAAAACN75cQ=",0)</f>
        <v>0</v>
      </c>
      <c r="GP1" t="e">
        <f>AND(Naslovnica!A15,"AAAAACN75cU=")</f>
        <v>#VALUE!</v>
      </c>
      <c r="GQ1" t="e">
        <f>AND(Naslovnica!B15,"AAAAACN75cY=")</f>
        <v>#VALUE!</v>
      </c>
      <c r="GR1" t="e">
        <f>AND(Naslovnica!C15,"AAAAACN75cc=")</f>
        <v>#VALUE!</v>
      </c>
      <c r="GS1" t="e">
        <f>AND(Naslovnica!D15,"AAAAACN75cg=")</f>
        <v>#VALUE!</v>
      </c>
      <c r="GT1" t="e">
        <f>AND(Naslovnica!E15,"AAAAACN75ck=")</f>
        <v>#VALUE!</v>
      </c>
      <c r="GU1" t="e">
        <f>AND(Naslovnica!F15,"AAAAACN75co=")</f>
        <v>#VALUE!</v>
      </c>
      <c r="GV1" t="e">
        <f>AND(Naslovnica!G15,"AAAAACN75cs=")</f>
        <v>#VALUE!</v>
      </c>
      <c r="GW1" t="e">
        <f>AND(Naslovnica!H15,"AAAAACN75cw=")</f>
        <v>#VALUE!</v>
      </c>
      <c r="GX1" t="e">
        <f>AND(Naslovnica!I15,"AAAAACN75c0=")</f>
        <v>#VALUE!</v>
      </c>
      <c r="GY1" t="e">
        <f>AND(Naslovnica!J15,"AAAAACN75c4=")</f>
        <v>#VALUE!</v>
      </c>
      <c r="GZ1" t="e">
        <f>AND(Naslovnica!K15,"AAAAACN75c8=")</f>
        <v>#VALUE!</v>
      </c>
      <c r="HA1" t="e">
        <f>AND(Naslovnica!L15,"AAAAACN75dA=")</f>
        <v>#VALUE!</v>
      </c>
      <c r="HB1" t="e">
        <f>AND(Naslovnica!M15,"AAAAACN75dE=")</f>
        <v>#VALUE!</v>
      </c>
      <c r="HC1">
        <f>IF(Naslovnica!16:16,"AAAAACN75dI=",0)</f>
        <v>0</v>
      </c>
      <c r="HD1" t="e">
        <f>AND(Naslovnica!A16,"AAAAACN75dM=")</f>
        <v>#VALUE!</v>
      </c>
      <c r="HE1" t="e">
        <f>AND(Naslovnica!B16,"AAAAACN75dQ=")</f>
        <v>#VALUE!</v>
      </c>
      <c r="HF1" t="e">
        <f>AND(Naslovnica!C16,"AAAAACN75dU=")</f>
        <v>#VALUE!</v>
      </c>
      <c r="HG1" t="e">
        <f>AND(Naslovnica!D16,"AAAAACN75dY=")</f>
        <v>#VALUE!</v>
      </c>
      <c r="HH1" t="e">
        <f>AND(Naslovnica!E16,"AAAAACN75dc=")</f>
        <v>#VALUE!</v>
      </c>
      <c r="HI1" t="e">
        <f>AND(Naslovnica!F16,"AAAAACN75dg=")</f>
        <v>#VALUE!</v>
      </c>
      <c r="HJ1" t="e">
        <f>AND(Naslovnica!G16,"AAAAACN75dk=")</f>
        <v>#VALUE!</v>
      </c>
      <c r="HK1" t="e">
        <f>AND(Naslovnica!H16,"AAAAACN75do=")</f>
        <v>#VALUE!</v>
      </c>
      <c r="HL1" t="e">
        <f>AND(Naslovnica!I16,"AAAAACN75ds=")</f>
        <v>#VALUE!</v>
      </c>
      <c r="HM1" t="e">
        <f>AND(Naslovnica!J16,"AAAAACN75dw=")</f>
        <v>#VALUE!</v>
      </c>
      <c r="HN1" t="e">
        <f>AND(Naslovnica!K16,"AAAAACN75d0=")</f>
        <v>#VALUE!</v>
      </c>
      <c r="HO1" t="e">
        <f>AND(Naslovnica!L16,"AAAAACN75d4=")</f>
        <v>#VALUE!</v>
      </c>
      <c r="HP1" t="e">
        <f>AND(Naslovnica!M16,"AAAAACN75d8=")</f>
        <v>#VALUE!</v>
      </c>
      <c r="HQ1">
        <f>IF(Naslovnica!17:17,"AAAAACN75eA=",0)</f>
        <v>0</v>
      </c>
      <c r="HR1" t="e">
        <f>AND(Naslovnica!A17,"AAAAACN75eE=")</f>
        <v>#VALUE!</v>
      </c>
      <c r="HS1" t="e">
        <f>AND(Naslovnica!B17,"AAAAACN75eI=")</f>
        <v>#VALUE!</v>
      </c>
      <c r="HT1" t="e">
        <f>AND(Naslovnica!C17,"AAAAACN75eM=")</f>
        <v>#VALUE!</v>
      </c>
      <c r="HU1" t="e">
        <f>AND(Naslovnica!D17,"AAAAACN75eQ=")</f>
        <v>#VALUE!</v>
      </c>
      <c r="HV1" t="e">
        <f>AND(Naslovnica!E17,"AAAAACN75eU=")</f>
        <v>#VALUE!</v>
      </c>
      <c r="HW1" t="e">
        <f>AND(Naslovnica!F17,"AAAAACN75eY=")</f>
        <v>#VALUE!</v>
      </c>
      <c r="HX1" t="e">
        <f>AND(Naslovnica!G17,"AAAAACN75ec=")</f>
        <v>#VALUE!</v>
      </c>
      <c r="HY1" t="e">
        <f>AND(Naslovnica!H17,"AAAAACN75eg=")</f>
        <v>#VALUE!</v>
      </c>
      <c r="HZ1" t="e">
        <f>AND(Naslovnica!I17,"AAAAACN75ek=")</f>
        <v>#VALUE!</v>
      </c>
      <c r="IA1" t="e">
        <f>AND(Naslovnica!J17,"AAAAACN75eo=")</f>
        <v>#VALUE!</v>
      </c>
      <c r="IB1" t="e">
        <f>AND(Naslovnica!K17,"AAAAACN75es=")</f>
        <v>#VALUE!</v>
      </c>
      <c r="IC1" t="e">
        <f>AND(Naslovnica!L17,"AAAAACN75ew=")</f>
        <v>#VALUE!</v>
      </c>
      <c r="ID1" t="e">
        <f>AND(Naslovnica!M17,"AAAAACN75e0=")</f>
        <v>#VALUE!</v>
      </c>
      <c r="IE1">
        <f>IF(Naslovnica!18:18,"AAAAACN75e4=",0)</f>
        <v>0</v>
      </c>
      <c r="IF1" t="e">
        <f>AND(Naslovnica!A18,"AAAAACN75e8=")</f>
        <v>#VALUE!</v>
      </c>
      <c r="IG1" t="e">
        <f>AND(Naslovnica!B18,"AAAAACN75fA=")</f>
        <v>#VALUE!</v>
      </c>
      <c r="IH1" t="e">
        <f>AND(Naslovnica!C18,"AAAAACN75fE=")</f>
        <v>#VALUE!</v>
      </c>
      <c r="II1" t="e">
        <f>AND(Naslovnica!D18,"AAAAACN75fI=")</f>
        <v>#VALUE!</v>
      </c>
      <c r="IJ1" t="e">
        <f>AND(Naslovnica!E18,"AAAAACN75fM=")</f>
        <v>#VALUE!</v>
      </c>
      <c r="IK1" t="e">
        <f>AND(Naslovnica!F18,"AAAAACN75fQ=")</f>
        <v>#VALUE!</v>
      </c>
      <c r="IL1" t="e">
        <f>AND(Naslovnica!G18,"AAAAACN75fU=")</f>
        <v>#VALUE!</v>
      </c>
      <c r="IM1" t="e">
        <f>AND(Naslovnica!H18,"AAAAACN75fY=")</f>
        <v>#VALUE!</v>
      </c>
      <c r="IN1" t="e">
        <f>AND(Naslovnica!I18,"AAAAACN75fc=")</f>
        <v>#VALUE!</v>
      </c>
      <c r="IO1" t="e">
        <f>AND(Naslovnica!J18,"AAAAACN75fg=")</f>
        <v>#VALUE!</v>
      </c>
      <c r="IP1" t="e">
        <f>AND(Naslovnica!K18,"AAAAACN75fk=")</f>
        <v>#VALUE!</v>
      </c>
      <c r="IQ1" t="e">
        <f>AND(Naslovnica!L18,"AAAAACN75fo=")</f>
        <v>#VALUE!</v>
      </c>
      <c r="IR1" t="e">
        <f>AND(Naslovnica!M18,"AAAAACN75fs=")</f>
        <v>#VALUE!</v>
      </c>
      <c r="IS1">
        <f>IF(Naslovnica!19:19,"AAAAACN75fw=",0)</f>
        <v>0</v>
      </c>
      <c r="IT1" t="e">
        <f>AND(Naslovnica!A19,"AAAAACN75f0=")</f>
        <v>#VALUE!</v>
      </c>
      <c r="IU1" t="e">
        <f>AND(Naslovnica!B19,"AAAAACN75f4=")</f>
        <v>#VALUE!</v>
      </c>
      <c r="IV1" t="e">
        <f>AND(Naslovnica!C19,"AAAAACN75f8=")</f>
        <v>#VALUE!</v>
      </c>
    </row>
    <row r="2" spans="1:256">
      <c r="A2" t="e">
        <f>AND(Naslovnica!D19,"AAAAAF/70wA=")</f>
        <v>#VALUE!</v>
      </c>
      <c r="B2" t="e">
        <f>AND(Naslovnica!E19,"AAAAAF/70wE=")</f>
        <v>#VALUE!</v>
      </c>
      <c r="C2" t="e">
        <f>AND(Naslovnica!F19,"AAAAAF/70wI=")</f>
        <v>#VALUE!</v>
      </c>
      <c r="D2" t="e">
        <f>AND(Naslovnica!G19,"AAAAAF/70wM=")</f>
        <v>#VALUE!</v>
      </c>
      <c r="E2" t="e">
        <f>AND(Naslovnica!H19,"AAAAAF/70wQ=")</f>
        <v>#VALUE!</v>
      </c>
      <c r="F2" t="e">
        <f>AND(Naslovnica!I19,"AAAAAF/70wU=")</f>
        <v>#VALUE!</v>
      </c>
      <c r="G2" t="e">
        <f>AND(Naslovnica!J19,"AAAAAF/70wY=")</f>
        <v>#VALUE!</v>
      </c>
      <c r="H2" t="e">
        <f>AND(Naslovnica!K19,"AAAAAF/70wc=")</f>
        <v>#VALUE!</v>
      </c>
      <c r="I2" t="e">
        <f>AND(Naslovnica!L19,"AAAAAF/70wg=")</f>
        <v>#VALUE!</v>
      </c>
      <c r="J2" t="e">
        <f>AND(Naslovnica!M19,"AAAAAF/70wk=")</f>
        <v>#VALUE!</v>
      </c>
      <c r="K2">
        <f>IF(Naslovnica!20:20,"AAAAAF/70wo=",0)</f>
        <v>0</v>
      </c>
      <c r="L2" t="e">
        <f>AND(Naslovnica!A20,"AAAAAF/70ws=")</f>
        <v>#VALUE!</v>
      </c>
      <c r="M2" t="e">
        <f>AND(Naslovnica!B20,"AAAAAF/70ww=")</f>
        <v>#VALUE!</v>
      </c>
      <c r="N2" t="e">
        <f>AND(Naslovnica!C20,"AAAAAF/70w0=")</f>
        <v>#VALUE!</v>
      </c>
      <c r="O2" t="e">
        <f>AND(Naslovnica!D20,"AAAAAF/70w4=")</f>
        <v>#VALUE!</v>
      </c>
      <c r="P2" t="e">
        <f>AND(Naslovnica!E20,"AAAAAF/70w8=")</f>
        <v>#VALUE!</v>
      </c>
      <c r="Q2" t="e">
        <f>AND(Naslovnica!F20,"AAAAAF/70xA=")</f>
        <v>#VALUE!</v>
      </c>
      <c r="R2" t="e">
        <f>AND(Naslovnica!G20,"AAAAAF/70xE=")</f>
        <v>#VALUE!</v>
      </c>
      <c r="S2" t="e">
        <f>AND(Naslovnica!H20,"AAAAAF/70xI=")</f>
        <v>#VALUE!</v>
      </c>
      <c r="T2" t="e">
        <f>AND(Naslovnica!I20,"AAAAAF/70xM=")</f>
        <v>#VALUE!</v>
      </c>
      <c r="U2" t="e">
        <f>AND(Naslovnica!J20,"AAAAAF/70xQ=")</f>
        <v>#VALUE!</v>
      </c>
      <c r="V2" t="e">
        <f>AND(Naslovnica!K20,"AAAAAF/70xU=")</f>
        <v>#VALUE!</v>
      </c>
      <c r="W2" t="e">
        <f>AND(Naslovnica!L20,"AAAAAF/70xY=")</f>
        <v>#VALUE!</v>
      </c>
      <c r="X2" t="e">
        <f>AND(Naslovnica!M20,"AAAAAF/70xc=")</f>
        <v>#VALUE!</v>
      </c>
      <c r="Y2">
        <f>IF(Naslovnica!21:21,"AAAAAF/70xg=",0)</f>
        <v>0</v>
      </c>
      <c r="Z2" t="e">
        <f>AND(Naslovnica!A21,"AAAAAF/70xk=")</f>
        <v>#VALUE!</v>
      </c>
      <c r="AA2" t="e">
        <f>AND(Naslovnica!B21,"AAAAAF/70xo=")</f>
        <v>#VALUE!</v>
      </c>
      <c r="AB2" t="e">
        <f>AND(Naslovnica!C21,"AAAAAF/70xs=")</f>
        <v>#VALUE!</v>
      </c>
      <c r="AC2" t="e">
        <f>AND(Naslovnica!D21,"AAAAAF/70xw=")</f>
        <v>#VALUE!</v>
      </c>
      <c r="AD2" t="e">
        <f>AND(Naslovnica!E21,"AAAAAF/70x0=")</f>
        <v>#VALUE!</v>
      </c>
      <c r="AE2" t="e">
        <f>AND(Naslovnica!F21,"AAAAAF/70x4=")</f>
        <v>#VALUE!</v>
      </c>
      <c r="AF2" t="e">
        <f>AND(Naslovnica!G21,"AAAAAF/70x8=")</f>
        <v>#VALUE!</v>
      </c>
      <c r="AG2" t="e">
        <f>AND(Naslovnica!H21,"AAAAAF/70yA=")</f>
        <v>#VALUE!</v>
      </c>
      <c r="AH2" t="e">
        <f>AND(Naslovnica!I21,"AAAAAF/70yE=")</f>
        <v>#VALUE!</v>
      </c>
      <c r="AI2" t="e">
        <f>AND(Naslovnica!J21,"AAAAAF/70yI=")</f>
        <v>#VALUE!</v>
      </c>
      <c r="AJ2" t="e">
        <f>AND(Naslovnica!K21,"AAAAAF/70yM=")</f>
        <v>#VALUE!</v>
      </c>
      <c r="AK2" t="e">
        <f>AND(Naslovnica!L21,"AAAAAF/70yQ=")</f>
        <v>#VALUE!</v>
      </c>
      <c r="AL2" t="e">
        <f>AND(Naslovnica!M21,"AAAAAF/70yU=")</f>
        <v>#VALUE!</v>
      </c>
      <c r="AM2">
        <f>IF(Naslovnica!22:22,"AAAAAF/70yY=",0)</f>
        <v>0</v>
      </c>
      <c r="AN2" t="e">
        <f>AND(Naslovnica!A22,"AAAAAF/70yc=")</f>
        <v>#VALUE!</v>
      </c>
      <c r="AO2" t="e">
        <f>AND(Naslovnica!B22,"AAAAAF/70yg=")</f>
        <v>#VALUE!</v>
      </c>
      <c r="AP2" t="e">
        <f>AND(Naslovnica!C22,"AAAAAF/70yk=")</f>
        <v>#VALUE!</v>
      </c>
      <c r="AQ2" t="e">
        <f>AND(Naslovnica!D22,"AAAAAF/70yo=")</f>
        <v>#VALUE!</v>
      </c>
      <c r="AR2" t="e">
        <f>AND(Naslovnica!E22,"AAAAAF/70ys=")</f>
        <v>#VALUE!</v>
      </c>
      <c r="AS2" t="e">
        <f>AND(Naslovnica!F22,"AAAAAF/70yw=")</f>
        <v>#VALUE!</v>
      </c>
      <c r="AT2" t="e">
        <f>AND(Naslovnica!G22,"AAAAAF/70y0=")</f>
        <v>#VALUE!</v>
      </c>
      <c r="AU2" t="e">
        <f>AND(Naslovnica!H22,"AAAAAF/70y4=")</f>
        <v>#VALUE!</v>
      </c>
      <c r="AV2" t="e">
        <f>AND(Naslovnica!I22,"AAAAAF/70y8=")</f>
        <v>#VALUE!</v>
      </c>
      <c r="AW2" t="e">
        <f>AND(Naslovnica!J22,"AAAAAF/70zA=")</f>
        <v>#VALUE!</v>
      </c>
      <c r="AX2" t="e">
        <f>AND(Naslovnica!K22,"AAAAAF/70zE=")</f>
        <v>#VALUE!</v>
      </c>
      <c r="AY2" t="e">
        <f>AND(Naslovnica!L22,"AAAAAF/70zI=")</f>
        <v>#VALUE!</v>
      </c>
      <c r="AZ2" t="e">
        <f>AND(Naslovnica!M22,"AAAAAF/70zM=")</f>
        <v>#VALUE!</v>
      </c>
      <c r="BA2">
        <f>IF(Naslovnica!23:23,"AAAAAF/70zQ=",0)</f>
        <v>0</v>
      </c>
      <c r="BB2" t="e">
        <f>AND(Naslovnica!A23,"AAAAAF/70zU=")</f>
        <v>#VALUE!</v>
      </c>
      <c r="BC2" t="e">
        <f>AND(Naslovnica!B23,"AAAAAF/70zY=")</f>
        <v>#VALUE!</v>
      </c>
      <c r="BD2" t="e">
        <f>AND(Naslovnica!C23,"AAAAAF/70zc=")</f>
        <v>#VALUE!</v>
      </c>
      <c r="BE2" t="e">
        <f>AND(Naslovnica!D23,"AAAAAF/70zg=")</f>
        <v>#VALUE!</v>
      </c>
      <c r="BF2" t="e">
        <f>AND(Naslovnica!E23,"AAAAAF/70zk=")</f>
        <v>#VALUE!</v>
      </c>
      <c r="BG2" t="e">
        <f>AND(Naslovnica!F23,"AAAAAF/70zo=")</f>
        <v>#VALUE!</v>
      </c>
      <c r="BH2" t="e">
        <f>AND(Naslovnica!G23,"AAAAAF/70zs=")</f>
        <v>#VALUE!</v>
      </c>
      <c r="BI2" t="e">
        <f>AND(Naslovnica!H23,"AAAAAF/70zw=")</f>
        <v>#VALUE!</v>
      </c>
      <c r="BJ2" t="e">
        <f>AND(Naslovnica!I23,"AAAAAF/70z0=")</f>
        <v>#VALUE!</v>
      </c>
      <c r="BK2" t="e">
        <f>AND(Naslovnica!J23,"AAAAAF/70z4=")</f>
        <v>#VALUE!</v>
      </c>
      <c r="BL2" t="e">
        <f>AND(Naslovnica!K23,"AAAAAF/70z8=")</f>
        <v>#VALUE!</v>
      </c>
      <c r="BM2" t="e">
        <f>AND(Naslovnica!L23,"AAAAAF/700A=")</f>
        <v>#VALUE!</v>
      </c>
      <c r="BN2" t="e">
        <f>AND(Naslovnica!M23,"AAAAAF/700E=")</f>
        <v>#VALUE!</v>
      </c>
      <c r="BO2">
        <f>IF(Naslovnica!24:24,"AAAAAF/700I=",0)</f>
        <v>0</v>
      </c>
      <c r="BP2" t="e">
        <f>AND(Naslovnica!A24,"AAAAAF/700M=")</f>
        <v>#VALUE!</v>
      </c>
      <c r="BQ2" t="e">
        <f>AND(Naslovnica!B24,"AAAAAF/700Q=")</f>
        <v>#VALUE!</v>
      </c>
      <c r="BR2" t="e">
        <f>AND(Naslovnica!C24,"AAAAAF/700U=")</f>
        <v>#VALUE!</v>
      </c>
      <c r="BS2" t="e">
        <f>AND(Naslovnica!D24,"AAAAAF/700Y=")</f>
        <v>#VALUE!</v>
      </c>
      <c r="BT2" t="e">
        <f>AND(Naslovnica!E24,"AAAAAF/700c=")</f>
        <v>#VALUE!</v>
      </c>
      <c r="BU2" t="e">
        <f>AND(Naslovnica!F24,"AAAAAF/700g=")</f>
        <v>#VALUE!</v>
      </c>
      <c r="BV2" t="e">
        <f>AND(Naslovnica!G24,"AAAAAF/700k=")</f>
        <v>#VALUE!</v>
      </c>
      <c r="BW2" t="e">
        <f>AND(Naslovnica!H24,"AAAAAF/700o=")</f>
        <v>#VALUE!</v>
      </c>
      <c r="BX2" t="e">
        <f>AND(Naslovnica!I24,"AAAAAF/700s=")</f>
        <v>#VALUE!</v>
      </c>
      <c r="BY2" t="e">
        <f>AND(Naslovnica!J24,"AAAAAF/700w=")</f>
        <v>#VALUE!</v>
      </c>
      <c r="BZ2" t="e">
        <f>AND(Naslovnica!K24,"AAAAAF/7000=")</f>
        <v>#VALUE!</v>
      </c>
      <c r="CA2" t="e">
        <f>AND(Naslovnica!L24,"AAAAAF/7004=")</f>
        <v>#VALUE!</v>
      </c>
      <c r="CB2" t="e">
        <f>AND(Naslovnica!M24,"AAAAAF/7008=")</f>
        <v>#VALUE!</v>
      </c>
      <c r="CC2">
        <f>IF(Naslovnica!25:25,"AAAAAF/701A=",0)</f>
        <v>0</v>
      </c>
      <c r="CD2" t="e">
        <f>AND(Naslovnica!A25,"AAAAAF/701E=")</f>
        <v>#VALUE!</v>
      </c>
      <c r="CE2" t="e">
        <f>AND(Naslovnica!B25,"AAAAAF/701I=")</f>
        <v>#VALUE!</v>
      </c>
      <c r="CF2" t="e">
        <f>AND(Naslovnica!C25,"AAAAAF/701M=")</f>
        <v>#VALUE!</v>
      </c>
      <c r="CG2" t="e">
        <f>AND(Naslovnica!D25,"AAAAAF/701Q=")</f>
        <v>#VALUE!</v>
      </c>
      <c r="CH2" t="e">
        <f>AND(Naslovnica!E25,"AAAAAF/701U=")</f>
        <v>#VALUE!</v>
      </c>
      <c r="CI2" t="e">
        <f>AND(Naslovnica!F25,"AAAAAF/701Y=")</f>
        <v>#VALUE!</v>
      </c>
      <c r="CJ2" t="e">
        <f>AND(Naslovnica!G25,"AAAAAF/701c=")</f>
        <v>#VALUE!</v>
      </c>
      <c r="CK2" t="e">
        <f>AND(Naslovnica!H25,"AAAAAF/701g=")</f>
        <v>#VALUE!</v>
      </c>
      <c r="CL2" t="e">
        <f>AND(Naslovnica!I25,"AAAAAF/701k=")</f>
        <v>#VALUE!</v>
      </c>
      <c r="CM2" t="e">
        <f>AND(Naslovnica!J25,"AAAAAF/701o=")</f>
        <v>#VALUE!</v>
      </c>
      <c r="CN2" t="e">
        <f>AND(Naslovnica!K25,"AAAAAF/701s=")</f>
        <v>#VALUE!</v>
      </c>
      <c r="CO2" t="e">
        <f>AND(Naslovnica!L25,"AAAAAF/701w=")</f>
        <v>#VALUE!</v>
      </c>
      <c r="CP2" t="e">
        <f>AND(Naslovnica!M25,"AAAAAF/7010=")</f>
        <v>#VALUE!</v>
      </c>
      <c r="CQ2">
        <f>IF(Naslovnica!26:26,"AAAAAF/7014=",0)</f>
        <v>0</v>
      </c>
      <c r="CR2" t="e">
        <f>AND(Naslovnica!A26,"AAAAAF/7018=")</f>
        <v>#VALUE!</v>
      </c>
      <c r="CS2" t="e">
        <f>AND(Naslovnica!B26,"AAAAAF/702A=")</f>
        <v>#VALUE!</v>
      </c>
      <c r="CT2" t="e">
        <f>AND(Naslovnica!C26,"AAAAAF/702E=")</f>
        <v>#VALUE!</v>
      </c>
      <c r="CU2" t="e">
        <f>AND(Naslovnica!D26,"AAAAAF/702I=")</f>
        <v>#VALUE!</v>
      </c>
      <c r="CV2" t="e">
        <f>AND(Naslovnica!E26,"AAAAAF/702M=")</f>
        <v>#VALUE!</v>
      </c>
      <c r="CW2" t="e">
        <f>AND(Naslovnica!F26,"AAAAAF/702Q=")</f>
        <v>#VALUE!</v>
      </c>
      <c r="CX2" t="e">
        <f>AND(Naslovnica!G26,"AAAAAF/702U=")</f>
        <v>#VALUE!</v>
      </c>
      <c r="CY2" t="e">
        <f>AND(Naslovnica!H26,"AAAAAF/702Y=")</f>
        <v>#VALUE!</v>
      </c>
      <c r="CZ2" t="e">
        <f>AND(Naslovnica!I26,"AAAAAF/702c=")</f>
        <v>#VALUE!</v>
      </c>
      <c r="DA2" t="e">
        <f>AND(Naslovnica!J26,"AAAAAF/702g=")</f>
        <v>#VALUE!</v>
      </c>
      <c r="DB2" t="e">
        <f>AND(Naslovnica!K26,"AAAAAF/702k=")</f>
        <v>#VALUE!</v>
      </c>
      <c r="DC2" t="e">
        <f>AND(Naslovnica!L26,"AAAAAF/702o=")</f>
        <v>#VALUE!</v>
      </c>
      <c r="DD2" t="e">
        <f>AND(Naslovnica!M26,"AAAAAF/702s=")</f>
        <v>#VALUE!</v>
      </c>
      <c r="DE2">
        <f>IF(Naslovnica!27:27,"AAAAAF/702w=",0)</f>
        <v>0</v>
      </c>
      <c r="DF2" t="e">
        <f>AND(Naslovnica!A27,"AAAAAF/7020=")</f>
        <v>#VALUE!</v>
      </c>
      <c r="DG2" t="e">
        <f>AND(Naslovnica!B27,"AAAAAF/7024=")</f>
        <v>#VALUE!</v>
      </c>
      <c r="DH2" t="e">
        <f>AND(Naslovnica!C27,"AAAAAF/7028=")</f>
        <v>#VALUE!</v>
      </c>
      <c r="DI2" t="e">
        <f>AND(Naslovnica!D27,"AAAAAF/703A=")</f>
        <v>#VALUE!</v>
      </c>
      <c r="DJ2" t="e">
        <f>AND(Naslovnica!E27,"AAAAAF/703E=")</f>
        <v>#VALUE!</v>
      </c>
      <c r="DK2" t="e">
        <f>AND(Naslovnica!F27,"AAAAAF/703I=")</f>
        <v>#VALUE!</v>
      </c>
      <c r="DL2" t="e">
        <f>AND(Naslovnica!G27,"AAAAAF/703M=")</f>
        <v>#VALUE!</v>
      </c>
      <c r="DM2" t="e">
        <f>AND(Naslovnica!H27,"AAAAAF/703Q=")</f>
        <v>#VALUE!</v>
      </c>
      <c r="DN2" t="e">
        <f>AND(Naslovnica!I27,"AAAAAF/703U=")</f>
        <v>#VALUE!</v>
      </c>
      <c r="DO2" t="e">
        <f>AND(Naslovnica!J27,"AAAAAF/703Y=")</f>
        <v>#VALUE!</v>
      </c>
      <c r="DP2" t="e">
        <f>AND(Naslovnica!K27,"AAAAAF/703c=")</f>
        <v>#VALUE!</v>
      </c>
      <c r="DQ2" t="e">
        <f>AND(Naslovnica!L27,"AAAAAF/703g=")</f>
        <v>#VALUE!</v>
      </c>
      <c r="DR2" t="e">
        <f>AND(Naslovnica!M27,"AAAAAF/703k=")</f>
        <v>#VALUE!</v>
      </c>
      <c r="DS2">
        <f>IF(Naslovnica!28:28,"AAAAAF/703o=",0)</f>
        <v>0</v>
      </c>
      <c r="DT2" t="e">
        <f>AND(Naslovnica!A28,"AAAAAF/703s=")</f>
        <v>#VALUE!</v>
      </c>
      <c r="DU2" t="e">
        <f>AND(Naslovnica!B28,"AAAAAF/703w=")</f>
        <v>#VALUE!</v>
      </c>
      <c r="DV2" t="e">
        <f>AND(Naslovnica!C28,"AAAAAF/7030=")</f>
        <v>#VALUE!</v>
      </c>
      <c r="DW2" t="e">
        <f>AND(Naslovnica!D28,"AAAAAF/7034=")</f>
        <v>#VALUE!</v>
      </c>
      <c r="DX2" t="e">
        <f>AND(Naslovnica!E28,"AAAAAF/7038=")</f>
        <v>#VALUE!</v>
      </c>
      <c r="DY2" t="e">
        <f>AND(Naslovnica!F28,"AAAAAF/704A=")</f>
        <v>#VALUE!</v>
      </c>
      <c r="DZ2" t="e">
        <f>AND(Naslovnica!G28,"AAAAAF/704E=")</f>
        <v>#VALUE!</v>
      </c>
      <c r="EA2" t="e">
        <f>AND(Naslovnica!H28,"AAAAAF/704I=")</f>
        <v>#VALUE!</v>
      </c>
      <c r="EB2" t="e">
        <f>AND(Naslovnica!I28,"AAAAAF/704M=")</f>
        <v>#VALUE!</v>
      </c>
      <c r="EC2" t="e">
        <f>AND(Naslovnica!J28,"AAAAAF/704Q=")</f>
        <v>#VALUE!</v>
      </c>
      <c r="ED2" t="e">
        <f>AND(Naslovnica!K28,"AAAAAF/704U=")</f>
        <v>#VALUE!</v>
      </c>
      <c r="EE2" t="e">
        <f>AND(Naslovnica!L28,"AAAAAF/704Y=")</f>
        <v>#VALUE!</v>
      </c>
      <c r="EF2" t="e">
        <f>AND(Naslovnica!M28,"AAAAAF/704c=")</f>
        <v>#VALUE!</v>
      </c>
      <c r="EG2">
        <f>IF(Naslovnica!29:29,"AAAAAF/704g=",0)</f>
        <v>0</v>
      </c>
      <c r="EH2" t="e">
        <f>AND(Naslovnica!A29,"AAAAAF/704k=")</f>
        <v>#VALUE!</v>
      </c>
      <c r="EI2" t="e">
        <f>AND(Naslovnica!B29,"AAAAAF/704o=")</f>
        <v>#VALUE!</v>
      </c>
      <c r="EJ2" t="e">
        <f>AND(Naslovnica!C29,"AAAAAF/704s=")</f>
        <v>#VALUE!</v>
      </c>
      <c r="EK2" t="e">
        <f>AND(Naslovnica!D29,"AAAAAF/704w=")</f>
        <v>#VALUE!</v>
      </c>
      <c r="EL2" t="e">
        <f>AND(Naslovnica!E29,"AAAAAF/7040=")</f>
        <v>#VALUE!</v>
      </c>
      <c r="EM2" t="e">
        <f>AND(Naslovnica!F29,"AAAAAF/7044=")</f>
        <v>#VALUE!</v>
      </c>
      <c r="EN2" t="e">
        <f>AND(Naslovnica!G29,"AAAAAF/7048=")</f>
        <v>#VALUE!</v>
      </c>
      <c r="EO2" t="e">
        <f>AND(Naslovnica!H29,"AAAAAF/705A=")</f>
        <v>#VALUE!</v>
      </c>
      <c r="EP2" t="e">
        <f>AND(Naslovnica!I29,"AAAAAF/705E=")</f>
        <v>#VALUE!</v>
      </c>
      <c r="EQ2" t="e">
        <f>AND(Naslovnica!J29,"AAAAAF/705I=")</f>
        <v>#VALUE!</v>
      </c>
      <c r="ER2" t="e">
        <f>AND(Naslovnica!K29,"AAAAAF/705M=")</f>
        <v>#VALUE!</v>
      </c>
      <c r="ES2" t="e">
        <f>AND(Naslovnica!L29,"AAAAAF/705Q=")</f>
        <v>#VALUE!</v>
      </c>
      <c r="ET2" t="e">
        <f>AND(Naslovnica!M29,"AAAAAF/705U=")</f>
        <v>#VALUE!</v>
      </c>
      <c r="EU2">
        <f>IF(Naslovnica!30:30,"AAAAAF/705Y=",0)</f>
        <v>0</v>
      </c>
      <c r="EV2" t="e">
        <f>AND(Naslovnica!A30,"AAAAAF/705c=")</f>
        <v>#VALUE!</v>
      </c>
      <c r="EW2" t="e">
        <f>AND(Naslovnica!B30,"AAAAAF/705g=")</f>
        <v>#VALUE!</v>
      </c>
      <c r="EX2" t="e">
        <f>AND(Naslovnica!C30,"AAAAAF/705k=")</f>
        <v>#VALUE!</v>
      </c>
      <c r="EY2" t="e">
        <f>AND(Naslovnica!D30,"AAAAAF/705o=")</f>
        <v>#VALUE!</v>
      </c>
      <c r="EZ2" t="e">
        <f>AND(Naslovnica!E30,"AAAAAF/705s=")</f>
        <v>#VALUE!</v>
      </c>
      <c r="FA2" t="e">
        <f>AND(Naslovnica!F30,"AAAAAF/705w=")</f>
        <v>#VALUE!</v>
      </c>
      <c r="FB2" t="e">
        <f>AND(Naslovnica!G30,"AAAAAF/7050=")</f>
        <v>#VALUE!</v>
      </c>
      <c r="FC2" t="e">
        <f>AND(Naslovnica!H30,"AAAAAF/7054=")</f>
        <v>#VALUE!</v>
      </c>
      <c r="FD2" t="e">
        <f>AND(Naslovnica!I30,"AAAAAF/7058=")</f>
        <v>#VALUE!</v>
      </c>
      <c r="FE2" t="e">
        <f>AND(Naslovnica!J30,"AAAAAF/706A=")</f>
        <v>#VALUE!</v>
      </c>
      <c r="FF2" t="e">
        <f>AND(Naslovnica!K30,"AAAAAF/706E=")</f>
        <v>#VALUE!</v>
      </c>
      <c r="FG2" t="e">
        <f>AND(Naslovnica!L30,"AAAAAF/706I=")</f>
        <v>#VALUE!</v>
      </c>
      <c r="FH2" t="e">
        <f>AND(Naslovnica!M30,"AAAAAF/706M=")</f>
        <v>#VALUE!</v>
      </c>
      <c r="FI2">
        <f>IF(Naslovnica!31:31,"AAAAAF/706Q=",0)</f>
        <v>0</v>
      </c>
      <c r="FJ2" t="e">
        <f>AND(Naslovnica!A31,"AAAAAF/706U=")</f>
        <v>#VALUE!</v>
      </c>
      <c r="FK2" t="e">
        <f>AND(Naslovnica!B31,"AAAAAF/706Y=")</f>
        <v>#VALUE!</v>
      </c>
      <c r="FL2" t="e">
        <f>AND(Naslovnica!C31,"AAAAAF/706c=")</f>
        <v>#VALUE!</v>
      </c>
      <c r="FM2" t="e">
        <f>AND(Naslovnica!D31,"AAAAAF/706g=")</f>
        <v>#VALUE!</v>
      </c>
      <c r="FN2" t="e">
        <f>AND(Naslovnica!E31,"AAAAAF/706k=")</f>
        <v>#VALUE!</v>
      </c>
      <c r="FO2" t="e">
        <f>AND(Naslovnica!F31,"AAAAAF/706o=")</f>
        <v>#VALUE!</v>
      </c>
      <c r="FP2" t="e">
        <f>AND(Naslovnica!G31,"AAAAAF/706s=")</f>
        <v>#VALUE!</v>
      </c>
      <c r="FQ2" t="e">
        <f>AND(Naslovnica!H31,"AAAAAF/706w=")</f>
        <v>#VALUE!</v>
      </c>
      <c r="FR2" t="e">
        <f>AND(Naslovnica!I31,"AAAAAF/7060=")</f>
        <v>#VALUE!</v>
      </c>
      <c r="FS2" t="e">
        <f>AND(Naslovnica!J31,"AAAAAF/7064=")</f>
        <v>#VALUE!</v>
      </c>
      <c r="FT2" t="e">
        <f>AND(Naslovnica!K31,"AAAAAF/7068=")</f>
        <v>#VALUE!</v>
      </c>
      <c r="FU2" t="e">
        <f>AND(Naslovnica!L31,"AAAAAF/707A=")</f>
        <v>#VALUE!</v>
      </c>
      <c r="FV2" t="e">
        <f>AND(Naslovnica!M31,"AAAAAF/707E=")</f>
        <v>#VALUE!</v>
      </c>
      <c r="FW2">
        <f>IF(Naslovnica!32:32,"AAAAAF/707I=",0)</f>
        <v>0</v>
      </c>
      <c r="FX2" t="e">
        <f>AND(Naslovnica!A32,"AAAAAF/707M=")</f>
        <v>#VALUE!</v>
      </c>
      <c r="FY2" t="e">
        <f>AND(Naslovnica!B32,"AAAAAF/707Q=")</f>
        <v>#VALUE!</v>
      </c>
      <c r="FZ2" t="e">
        <f>AND(Naslovnica!C32,"AAAAAF/707U=")</f>
        <v>#VALUE!</v>
      </c>
      <c r="GA2" t="e">
        <f>AND(Naslovnica!D32,"AAAAAF/707Y=")</f>
        <v>#VALUE!</v>
      </c>
      <c r="GB2" t="e">
        <f>AND(Naslovnica!E32,"AAAAAF/707c=")</f>
        <v>#VALUE!</v>
      </c>
      <c r="GC2" t="e">
        <f>AND(Naslovnica!F32,"AAAAAF/707g=")</f>
        <v>#VALUE!</v>
      </c>
      <c r="GD2" t="e">
        <f>AND(Naslovnica!G32,"AAAAAF/707k=")</f>
        <v>#VALUE!</v>
      </c>
      <c r="GE2" t="e">
        <f>AND(Naslovnica!H32,"AAAAAF/707o=")</f>
        <v>#VALUE!</v>
      </c>
      <c r="GF2" t="e">
        <f>AND(Naslovnica!I32,"AAAAAF/707s=")</f>
        <v>#VALUE!</v>
      </c>
      <c r="GG2" t="e">
        <f>AND(Naslovnica!J32,"AAAAAF/707w=")</f>
        <v>#VALUE!</v>
      </c>
      <c r="GH2" t="e">
        <f>AND(Naslovnica!K32,"AAAAAF/7070=")</f>
        <v>#VALUE!</v>
      </c>
      <c r="GI2" t="e">
        <f>AND(Naslovnica!L32,"AAAAAF/7074=")</f>
        <v>#VALUE!</v>
      </c>
      <c r="GJ2" t="e">
        <f>AND(Naslovnica!M32,"AAAAAF/7078=")</f>
        <v>#VALUE!</v>
      </c>
      <c r="GK2">
        <f>IF(Naslovnica!33:33,"AAAAAF/708A=",0)</f>
        <v>0</v>
      </c>
      <c r="GL2" t="e">
        <f>AND(Naslovnica!A33,"AAAAAF/708E=")</f>
        <v>#VALUE!</v>
      </c>
      <c r="GM2" t="e">
        <f>AND(Naslovnica!B33,"AAAAAF/708I=")</f>
        <v>#VALUE!</v>
      </c>
      <c r="GN2" t="e">
        <f>AND(Naslovnica!C33,"AAAAAF/708M=")</f>
        <v>#VALUE!</v>
      </c>
      <c r="GO2" t="e">
        <f>AND(Naslovnica!D33,"AAAAAF/708Q=")</f>
        <v>#VALUE!</v>
      </c>
      <c r="GP2" t="e">
        <f>AND(Naslovnica!E33,"AAAAAF/708U=")</f>
        <v>#VALUE!</v>
      </c>
      <c r="GQ2" t="e">
        <f>AND(Naslovnica!F33,"AAAAAF/708Y=")</f>
        <v>#VALUE!</v>
      </c>
      <c r="GR2" t="e">
        <f>AND(Naslovnica!G33,"AAAAAF/708c=")</f>
        <v>#VALUE!</v>
      </c>
      <c r="GS2" t="e">
        <f>AND(Naslovnica!H33,"AAAAAF/708g=")</f>
        <v>#VALUE!</v>
      </c>
      <c r="GT2" t="e">
        <f>AND(Naslovnica!I33,"AAAAAF/708k=")</f>
        <v>#VALUE!</v>
      </c>
      <c r="GU2" t="e">
        <f>AND(Naslovnica!J33,"AAAAAF/708o=")</f>
        <v>#VALUE!</v>
      </c>
      <c r="GV2" t="e">
        <f>AND(Naslovnica!K33,"AAAAAF/708s=")</f>
        <v>#VALUE!</v>
      </c>
      <c r="GW2" t="e">
        <f>AND(Naslovnica!L33,"AAAAAF/708w=")</f>
        <v>#VALUE!</v>
      </c>
      <c r="GX2" t="e">
        <f>AND(Naslovnica!M33,"AAAAAF/7080=")</f>
        <v>#VALUE!</v>
      </c>
      <c r="GY2">
        <f>IF(Naslovnica!34:34,"AAAAAF/7084=",0)</f>
        <v>0</v>
      </c>
      <c r="GZ2" t="e">
        <f>AND(Naslovnica!A34,"AAAAAF/7088=")</f>
        <v>#VALUE!</v>
      </c>
      <c r="HA2" t="e">
        <f>AND(Naslovnica!B34,"AAAAAF/709A=")</f>
        <v>#VALUE!</v>
      </c>
      <c r="HB2" t="e">
        <f>AND(Naslovnica!C34,"AAAAAF/709E=")</f>
        <v>#VALUE!</v>
      </c>
      <c r="HC2" t="e">
        <f>AND(Naslovnica!D34,"AAAAAF/709I=")</f>
        <v>#VALUE!</v>
      </c>
      <c r="HD2" t="e">
        <f>AND(Naslovnica!E34,"AAAAAF/709M=")</f>
        <v>#VALUE!</v>
      </c>
      <c r="HE2" t="e">
        <f>AND(Naslovnica!F34,"AAAAAF/709Q=")</f>
        <v>#VALUE!</v>
      </c>
      <c r="HF2" t="e">
        <f>AND(Naslovnica!G34,"AAAAAF/709U=")</f>
        <v>#VALUE!</v>
      </c>
      <c r="HG2" t="e">
        <f>AND(Naslovnica!H34,"AAAAAF/709Y=")</f>
        <v>#VALUE!</v>
      </c>
      <c r="HH2" t="e">
        <f>AND(Naslovnica!I34,"AAAAAF/709c=")</f>
        <v>#VALUE!</v>
      </c>
      <c r="HI2" t="e">
        <f>AND(Naslovnica!J34,"AAAAAF/709g=")</f>
        <v>#VALUE!</v>
      </c>
      <c r="HJ2" t="e">
        <f>AND(Naslovnica!K34,"AAAAAF/709k=")</f>
        <v>#VALUE!</v>
      </c>
      <c r="HK2" t="e">
        <f>AND(Naslovnica!L34,"AAAAAF/709o=")</f>
        <v>#VALUE!</v>
      </c>
      <c r="HL2" t="e">
        <f>AND(Naslovnica!M34,"AAAAAF/709s=")</f>
        <v>#VALUE!</v>
      </c>
      <c r="HM2">
        <f>IF(Naslovnica!35:35,"AAAAAF/709w=",0)</f>
        <v>0</v>
      </c>
      <c r="HN2" t="e">
        <f>AND(Naslovnica!A35,"AAAAAF/7090=")</f>
        <v>#VALUE!</v>
      </c>
      <c r="HO2" t="e">
        <f>AND(Naslovnica!B35,"AAAAAF/7094=")</f>
        <v>#VALUE!</v>
      </c>
      <c r="HP2" t="e">
        <f>AND(Naslovnica!C35,"AAAAAF/7098=")</f>
        <v>#VALUE!</v>
      </c>
      <c r="HQ2" t="e">
        <f>AND(Naslovnica!D35,"AAAAAF/70+A=")</f>
        <v>#VALUE!</v>
      </c>
      <c r="HR2" t="e">
        <f>AND(Naslovnica!E35,"AAAAAF/70+E=")</f>
        <v>#VALUE!</v>
      </c>
      <c r="HS2" t="e">
        <f>AND(Naslovnica!F35,"AAAAAF/70+I=")</f>
        <v>#VALUE!</v>
      </c>
      <c r="HT2" t="e">
        <f>AND(Naslovnica!G35,"AAAAAF/70+M=")</f>
        <v>#VALUE!</v>
      </c>
      <c r="HU2" t="e">
        <f>AND(Naslovnica!H35,"AAAAAF/70+Q=")</f>
        <v>#VALUE!</v>
      </c>
      <c r="HV2" t="e">
        <f>AND(Naslovnica!I35,"AAAAAF/70+U=")</f>
        <v>#VALUE!</v>
      </c>
      <c r="HW2" t="e">
        <f>AND(Naslovnica!J35,"AAAAAF/70+Y=")</f>
        <v>#VALUE!</v>
      </c>
      <c r="HX2" t="e">
        <f>AND(Naslovnica!K35,"AAAAAF/70+c=")</f>
        <v>#VALUE!</v>
      </c>
      <c r="HY2" t="e">
        <f>AND(Naslovnica!L35,"AAAAAF/70+g=")</f>
        <v>#VALUE!</v>
      </c>
      <c r="HZ2" t="e">
        <f>AND(Naslovnica!M35,"AAAAAF/70+k=")</f>
        <v>#VALUE!</v>
      </c>
      <c r="IA2">
        <f>IF(Naslovnica!36:36,"AAAAAF/70+o=",0)</f>
        <v>0</v>
      </c>
      <c r="IB2" t="e">
        <f>AND(Naslovnica!A36,"AAAAAF/70+s=")</f>
        <v>#VALUE!</v>
      </c>
      <c r="IC2" t="e">
        <f>AND(Naslovnica!B36,"AAAAAF/70+w=")</f>
        <v>#VALUE!</v>
      </c>
      <c r="ID2" t="e">
        <f>AND(Naslovnica!C36,"AAAAAF/70+0=")</f>
        <v>#VALUE!</v>
      </c>
      <c r="IE2" t="e">
        <f>AND(Naslovnica!D36,"AAAAAF/70+4=")</f>
        <v>#VALUE!</v>
      </c>
      <c r="IF2" t="e">
        <f>AND(Naslovnica!E36,"AAAAAF/70+8=")</f>
        <v>#VALUE!</v>
      </c>
      <c r="IG2" t="e">
        <f>AND(Naslovnica!F36,"AAAAAF/70/A=")</f>
        <v>#VALUE!</v>
      </c>
      <c r="IH2" t="e">
        <f>AND(Naslovnica!G36,"AAAAAF/70/E=")</f>
        <v>#VALUE!</v>
      </c>
      <c r="II2" t="e">
        <f>AND(Naslovnica!H36,"AAAAAF/70/I=")</f>
        <v>#VALUE!</v>
      </c>
      <c r="IJ2" t="e">
        <f>AND(Naslovnica!I36,"AAAAAF/70/M=")</f>
        <v>#VALUE!</v>
      </c>
      <c r="IK2" t="e">
        <f>AND(Naslovnica!J36,"AAAAAF/70/Q=")</f>
        <v>#VALUE!</v>
      </c>
      <c r="IL2" t="e">
        <f>AND(Naslovnica!K36,"AAAAAF/70/U=")</f>
        <v>#VALUE!</v>
      </c>
      <c r="IM2" t="e">
        <f>AND(Naslovnica!L36,"AAAAAF/70/Y=")</f>
        <v>#VALUE!</v>
      </c>
      <c r="IN2" t="e">
        <f>AND(Naslovnica!M36,"AAAAAF/70/c=")</f>
        <v>#VALUE!</v>
      </c>
      <c r="IO2">
        <f>IF(Naslovnica!37:37,"AAAAAF/70/g=",0)</f>
        <v>0</v>
      </c>
      <c r="IP2" t="e">
        <f>AND(Naslovnica!A37,"AAAAAF/70/k=")</f>
        <v>#VALUE!</v>
      </c>
      <c r="IQ2" t="e">
        <f>AND(Naslovnica!B37,"AAAAAF/70/o=")</f>
        <v>#VALUE!</v>
      </c>
      <c r="IR2" t="e">
        <f>AND(Naslovnica!C37,"AAAAAF/70/s=")</f>
        <v>#VALUE!</v>
      </c>
      <c r="IS2" t="e">
        <f>AND(Naslovnica!D37,"AAAAAF/70/w=")</f>
        <v>#VALUE!</v>
      </c>
      <c r="IT2" t="e">
        <f>AND(Naslovnica!E37,"AAAAAF/70/0=")</f>
        <v>#VALUE!</v>
      </c>
      <c r="IU2" t="e">
        <f>AND(Naslovnica!F37,"AAAAAF/70/4=")</f>
        <v>#VALUE!</v>
      </c>
      <c r="IV2" t="e">
        <f>AND(Naslovnica!G37,"AAAAAF/70/8=")</f>
        <v>#VALUE!</v>
      </c>
    </row>
    <row r="3" spans="1:256">
      <c r="A3" t="e">
        <f>AND(Naslovnica!H37,"AAAAAHHfYAA=")</f>
        <v>#VALUE!</v>
      </c>
      <c r="B3" t="e">
        <f>AND(Naslovnica!I37,"AAAAAHHfYAE=")</f>
        <v>#VALUE!</v>
      </c>
      <c r="C3" t="e">
        <f>AND(Naslovnica!J37,"AAAAAHHfYAI=")</f>
        <v>#VALUE!</v>
      </c>
      <c r="D3" t="e">
        <f>AND(Naslovnica!K37,"AAAAAHHfYAM=")</f>
        <v>#VALUE!</v>
      </c>
      <c r="E3" t="e">
        <f>AND(Naslovnica!L37,"AAAAAHHfYAQ=")</f>
        <v>#VALUE!</v>
      </c>
      <c r="F3" t="e">
        <f>AND(Naslovnica!M37,"AAAAAHHfYAU=")</f>
        <v>#VALUE!</v>
      </c>
      <c r="G3">
        <f>IF(Naslovnica!38:38,"AAAAAHHfYAY=",0)</f>
        <v>0</v>
      </c>
      <c r="H3" t="e">
        <f>AND(Naslovnica!A38,"AAAAAHHfYAc=")</f>
        <v>#VALUE!</v>
      </c>
      <c r="I3" t="e">
        <f>AND(Naslovnica!B38,"AAAAAHHfYAg=")</f>
        <v>#VALUE!</v>
      </c>
      <c r="J3" t="e">
        <f>AND(Naslovnica!C38,"AAAAAHHfYAk=")</f>
        <v>#VALUE!</v>
      </c>
      <c r="K3" t="e">
        <f>AND(Naslovnica!D38,"AAAAAHHfYAo=")</f>
        <v>#VALUE!</v>
      </c>
      <c r="L3" t="e">
        <f>AND(Naslovnica!E38,"AAAAAHHfYAs=")</f>
        <v>#VALUE!</v>
      </c>
      <c r="M3" t="e">
        <f>AND(Naslovnica!F38,"AAAAAHHfYAw=")</f>
        <v>#VALUE!</v>
      </c>
      <c r="N3" t="e">
        <f>AND(Naslovnica!G38,"AAAAAHHfYA0=")</f>
        <v>#VALUE!</v>
      </c>
      <c r="O3" t="e">
        <f>AND(Naslovnica!H38,"AAAAAHHfYA4=")</f>
        <v>#VALUE!</v>
      </c>
      <c r="P3" t="e">
        <f>AND(Naslovnica!I38,"AAAAAHHfYA8=")</f>
        <v>#VALUE!</v>
      </c>
      <c r="Q3" t="e">
        <f>AND(Naslovnica!J38,"AAAAAHHfYBA=")</f>
        <v>#VALUE!</v>
      </c>
      <c r="R3" t="e">
        <f>AND(Naslovnica!K38,"AAAAAHHfYBE=")</f>
        <v>#VALUE!</v>
      </c>
      <c r="S3" t="e">
        <f>AND(Naslovnica!L38,"AAAAAHHfYBI=")</f>
        <v>#VALUE!</v>
      </c>
      <c r="T3" t="e">
        <f>AND(Naslovnica!M38,"AAAAAHHfYBM=")</f>
        <v>#VALUE!</v>
      </c>
      <c r="U3">
        <f>IF(Naslovnica!39:39,"AAAAAHHfYBQ=",0)</f>
        <v>0</v>
      </c>
      <c r="V3" t="e">
        <f>AND(Naslovnica!A39,"AAAAAHHfYBU=")</f>
        <v>#VALUE!</v>
      </c>
      <c r="W3" t="e">
        <f>AND(Naslovnica!B39,"AAAAAHHfYBY=")</f>
        <v>#VALUE!</v>
      </c>
      <c r="X3" t="e">
        <f>AND(Naslovnica!C39,"AAAAAHHfYBc=")</f>
        <v>#VALUE!</v>
      </c>
      <c r="Y3" t="e">
        <f>AND(Naslovnica!D39,"AAAAAHHfYBg=")</f>
        <v>#VALUE!</v>
      </c>
      <c r="Z3" t="e">
        <f>AND(Naslovnica!E39,"AAAAAHHfYBk=")</f>
        <v>#VALUE!</v>
      </c>
      <c r="AA3" t="e">
        <f>AND(Naslovnica!F39,"AAAAAHHfYBo=")</f>
        <v>#VALUE!</v>
      </c>
      <c r="AB3" t="e">
        <f>AND(Naslovnica!G39,"AAAAAHHfYBs=")</f>
        <v>#VALUE!</v>
      </c>
      <c r="AC3" t="e">
        <f>AND(Naslovnica!H39,"AAAAAHHfYBw=")</f>
        <v>#VALUE!</v>
      </c>
      <c r="AD3" t="e">
        <f>AND(Naslovnica!I39,"AAAAAHHfYB0=")</f>
        <v>#VALUE!</v>
      </c>
      <c r="AE3" t="e">
        <f>AND(Naslovnica!J39,"AAAAAHHfYB4=")</f>
        <v>#VALUE!</v>
      </c>
      <c r="AF3" t="e">
        <f>AND(Naslovnica!K39,"AAAAAHHfYB8=")</f>
        <v>#VALUE!</v>
      </c>
      <c r="AG3" t="e">
        <f>AND(Naslovnica!L39,"AAAAAHHfYCA=")</f>
        <v>#VALUE!</v>
      </c>
      <c r="AH3" t="e">
        <f>AND(Naslovnica!M39,"AAAAAHHfYCE=")</f>
        <v>#VALUE!</v>
      </c>
      <c r="AI3">
        <f>IF(Naslovnica!40:40,"AAAAAHHfYCI=",0)</f>
        <v>0</v>
      </c>
      <c r="AJ3" t="e">
        <f>AND(Naslovnica!A40,"AAAAAHHfYCM=")</f>
        <v>#VALUE!</v>
      </c>
      <c r="AK3" t="e">
        <f>AND(Naslovnica!B40,"AAAAAHHfYCQ=")</f>
        <v>#VALUE!</v>
      </c>
      <c r="AL3" t="e">
        <f>AND(Naslovnica!C40,"AAAAAHHfYCU=")</f>
        <v>#VALUE!</v>
      </c>
      <c r="AM3" t="e">
        <f>AND(Naslovnica!D40,"AAAAAHHfYCY=")</f>
        <v>#VALUE!</v>
      </c>
      <c r="AN3" t="e">
        <f>AND(Naslovnica!E40,"AAAAAHHfYCc=")</f>
        <v>#VALUE!</v>
      </c>
      <c r="AO3" t="e">
        <f>AND(Naslovnica!F40,"AAAAAHHfYCg=")</f>
        <v>#VALUE!</v>
      </c>
      <c r="AP3" t="e">
        <f>AND(Naslovnica!G40,"AAAAAHHfYCk=")</f>
        <v>#VALUE!</v>
      </c>
      <c r="AQ3" t="e">
        <f>AND(Naslovnica!H40,"AAAAAHHfYCo=")</f>
        <v>#VALUE!</v>
      </c>
      <c r="AR3" t="e">
        <f>AND(Naslovnica!I40,"AAAAAHHfYCs=")</f>
        <v>#VALUE!</v>
      </c>
      <c r="AS3" t="e">
        <f>AND(Naslovnica!J40,"AAAAAHHfYCw=")</f>
        <v>#VALUE!</v>
      </c>
      <c r="AT3" t="e">
        <f>AND(Naslovnica!K40,"AAAAAHHfYC0=")</f>
        <v>#VALUE!</v>
      </c>
      <c r="AU3" t="e">
        <f>AND(Naslovnica!L40,"AAAAAHHfYC4=")</f>
        <v>#VALUE!</v>
      </c>
      <c r="AV3" t="e">
        <f>AND(Naslovnica!M40,"AAAAAHHfYC8=")</f>
        <v>#VALUE!</v>
      </c>
      <c r="AW3">
        <f>IF(Naslovnica!41:41,"AAAAAHHfYDA=",0)</f>
        <v>0</v>
      </c>
      <c r="AX3" t="e">
        <f>AND(Naslovnica!A41,"AAAAAHHfYDE=")</f>
        <v>#VALUE!</v>
      </c>
      <c r="AY3" t="e">
        <f>AND(Naslovnica!B41,"AAAAAHHfYDI=")</f>
        <v>#VALUE!</v>
      </c>
      <c r="AZ3" t="e">
        <f>AND(Naslovnica!C41,"AAAAAHHfYDM=")</f>
        <v>#VALUE!</v>
      </c>
      <c r="BA3" t="e">
        <f>AND(Naslovnica!D41,"AAAAAHHfYDQ=")</f>
        <v>#VALUE!</v>
      </c>
      <c r="BB3" t="e">
        <f>AND(Naslovnica!E41,"AAAAAHHfYDU=")</f>
        <v>#VALUE!</v>
      </c>
      <c r="BC3" t="e">
        <f>AND(Naslovnica!F41,"AAAAAHHfYDY=")</f>
        <v>#VALUE!</v>
      </c>
      <c r="BD3" t="e">
        <f>AND(Naslovnica!G41,"AAAAAHHfYDc=")</f>
        <v>#VALUE!</v>
      </c>
      <c r="BE3" t="e">
        <f>AND(Naslovnica!H41,"AAAAAHHfYDg=")</f>
        <v>#VALUE!</v>
      </c>
      <c r="BF3" t="e">
        <f>AND(Naslovnica!I41,"AAAAAHHfYDk=")</f>
        <v>#VALUE!</v>
      </c>
      <c r="BG3" t="e">
        <f>AND(Naslovnica!J41,"AAAAAHHfYDo=")</f>
        <v>#VALUE!</v>
      </c>
      <c r="BH3" t="e">
        <f>AND(Naslovnica!K41,"AAAAAHHfYDs=")</f>
        <v>#VALUE!</v>
      </c>
      <c r="BI3" t="e">
        <f>AND(Naslovnica!L41,"AAAAAHHfYDw=")</f>
        <v>#VALUE!</v>
      </c>
      <c r="BJ3" t="e">
        <f>AND(Naslovnica!M41,"AAAAAHHfYD0=")</f>
        <v>#VALUE!</v>
      </c>
      <c r="BK3">
        <f>IF(Naslovnica!42:42,"AAAAAHHfYD4=",0)</f>
        <v>0</v>
      </c>
      <c r="BL3" t="e">
        <f>AND(Naslovnica!A42,"AAAAAHHfYD8=")</f>
        <v>#VALUE!</v>
      </c>
      <c r="BM3" t="e">
        <f>AND(Naslovnica!B42,"AAAAAHHfYEA=")</f>
        <v>#VALUE!</v>
      </c>
      <c r="BN3" t="e">
        <f>AND(Naslovnica!C42,"AAAAAHHfYEE=")</f>
        <v>#VALUE!</v>
      </c>
      <c r="BO3" t="e">
        <f>AND(Naslovnica!D42,"AAAAAHHfYEI=")</f>
        <v>#VALUE!</v>
      </c>
      <c r="BP3" t="e">
        <f>AND(Naslovnica!E42,"AAAAAHHfYEM=")</f>
        <v>#VALUE!</v>
      </c>
      <c r="BQ3" t="e">
        <f>AND(Naslovnica!F42,"AAAAAHHfYEQ=")</f>
        <v>#VALUE!</v>
      </c>
      <c r="BR3" t="e">
        <f>AND(Naslovnica!G42,"AAAAAHHfYEU=")</f>
        <v>#VALUE!</v>
      </c>
      <c r="BS3" t="e">
        <f>AND(Naslovnica!H42,"AAAAAHHfYEY=")</f>
        <v>#VALUE!</v>
      </c>
      <c r="BT3" t="e">
        <f>AND(Naslovnica!I42,"AAAAAHHfYEc=")</f>
        <v>#VALUE!</v>
      </c>
      <c r="BU3" t="e">
        <f>AND(Naslovnica!J42,"AAAAAHHfYEg=")</f>
        <v>#VALUE!</v>
      </c>
      <c r="BV3" t="e">
        <f>AND(Naslovnica!K42,"AAAAAHHfYEk=")</f>
        <v>#VALUE!</v>
      </c>
      <c r="BW3" t="e">
        <f>AND(Naslovnica!L42,"AAAAAHHfYEo=")</f>
        <v>#VALUE!</v>
      </c>
      <c r="BX3" t="e">
        <f>AND(Naslovnica!M42,"AAAAAHHfYEs=")</f>
        <v>#VALUE!</v>
      </c>
      <c r="BY3">
        <f>IF(Naslovnica!43:43,"AAAAAHHfYEw=",0)</f>
        <v>0</v>
      </c>
      <c r="BZ3" t="e">
        <f>AND(Naslovnica!A43,"AAAAAHHfYE0=")</f>
        <v>#VALUE!</v>
      </c>
      <c r="CA3" t="e">
        <f>AND(Naslovnica!B43,"AAAAAHHfYE4=")</f>
        <v>#VALUE!</v>
      </c>
      <c r="CB3" t="e">
        <f>AND(Naslovnica!C43,"AAAAAHHfYE8=")</f>
        <v>#VALUE!</v>
      </c>
      <c r="CC3" t="e">
        <f>AND(Naslovnica!D43,"AAAAAHHfYFA=")</f>
        <v>#VALUE!</v>
      </c>
      <c r="CD3" t="e">
        <f>AND(Naslovnica!E43,"AAAAAHHfYFE=")</f>
        <v>#VALUE!</v>
      </c>
      <c r="CE3" t="e">
        <f>AND(Naslovnica!F43,"AAAAAHHfYFI=")</f>
        <v>#VALUE!</v>
      </c>
      <c r="CF3" t="e">
        <f>AND(Naslovnica!G43,"AAAAAHHfYFM=")</f>
        <v>#VALUE!</v>
      </c>
      <c r="CG3" t="e">
        <f>AND(Naslovnica!H43,"AAAAAHHfYFQ=")</f>
        <v>#VALUE!</v>
      </c>
      <c r="CH3" t="e">
        <f>AND(Naslovnica!I43,"AAAAAHHfYFU=")</f>
        <v>#VALUE!</v>
      </c>
      <c r="CI3" t="e">
        <f>AND(Naslovnica!J43,"AAAAAHHfYFY=")</f>
        <v>#VALUE!</v>
      </c>
      <c r="CJ3" t="e">
        <f>AND(Naslovnica!K43,"AAAAAHHfYFc=")</f>
        <v>#VALUE!</v>
      </c>
      <c r="CK3" t="e">
        <f>AND(Naslovnica!L43,"AAAAAHHfYFg=")</f>
        <v>#VALUE!</v>
      </c>
      <c r="CL3" t="e">
        <f>AND(Naslovnica!M43,"AAAAAHHfYFk=")</f>
        <v>#VALUE!</v>
      </c>
      <c r="CM3">
        <f>IF(Naslovnica!44:44,"AAAAAHHfYFo=",0)</f>
        <v>0</v>
      </c>
      <c r="CN3" t="e">
        <f>AND(Naslovnica!A44,"AAAAAHHfYFs=")</f>
        <v>#VALUE!</v>
      </c>
      <c r="CO3" t="e">
        <f>AND(Naslovnica!B44,"AAAAAHHfYFw=")</f>
        <v>#VALUE!</v>
      </c>
      <c r="CP3" t="e">
        <f>AND(Naslovnica!C44,"AAAAAHHfYF0=")</f>
        <v>#VALUE!</v>
      </c>
      <c r="CQ3" t="e">
        <f>AND(Naslovnica!D44,"AAAAAHHfYF4=")</f>
        <v>#VALUE!</v>
      </c>
      <c r="CR3" t="e">
        <f>AND(Naslovnica!E44,"AAAAAHHfYF8=")</f>
        <v>#VALUE!</v>
      </c>
      <c r="CS3" t="e">
        <f>AND(Naslovnica!F44,"AAAAAHHfYGA=")</f>
        <v>#VALUE!</v>
      </c>
      <c r="CT3" t="e">
        <f>AND(Naslovnica!G44,"AAAAAHHfYGE=")</f>
        <v>#VALUE!</v>
      </c>
      <c r="CU3" t="e">
        <f>AND(Naslovnica!H44,"AAAAAHHfYGI=")</f>
        <v>#VALUE!</v>
      </c>
      <c r="CV3" t="e">
        <f>AND(Naslovnica!I44,"AAAAAHHfYGM=")</f>
        <v>#VALUE!</v>
      </c>
      <c r="CW3" t="e">
        <f>AND(Naslovnica!J44,"AAAAAHHfYGQ=")</f>
        <v>#VALUE!</v>
      </c>
      <c r="CX3" t="e">
        <f>AND(Naslovnica!K44,"AAAAAHHfYGU=")</f>
        <v>#VALUE!</v>
      </c>
      <c r="CY3" t="e">
        <f>AND(Naslovnica!L44,"AAAAAHHfYGY=")</f>
        <v>#VALUE!</v>
      </c>
      <c r="CZ3" t="e">
        <f>AND(Naslovnica!M44,"AAAAAHHfYGc=")</f>
        <v>#VALUE!</v>
      </c>
      <c r="DA3">
        <f>IF(Naslovnica!45:45,"AAAAAHHfYGg=",0)</f>
        <v>0</v>
      </c>
      <c r="DB3" t="e">
        <f>AND(Naslovnica!A45,"AAAAAHHfYGk=")</f>
        <v>#VALUE!</v>
      </c>
      <c r="DC3" t="e">
        <f>AND(Naslovnica!B45,"AAAAAHHfYGo=")</f>
        <v>#VALUE!</v>
      </c>
      <c r="DD3" t="e">
        <f>AND(Naslovnica!C45,"AAAAAHHfYGs=")</f>
        <v>#VALUE!</v>
      </c>
      <c r="DE3" t="e">
        <f>AND(Naslovnica!D45,"AAAAAHHfYGw=")</f>
        <v>#VALUE!</v>
      </c>
      <c r="DF3" t="e">
        <f>AND(Naslovnica!E45,"AAAAAHHfYG0=")</f>
        <v>#VALUE!</v>
      </c>
      <c r="DG3" t="e">
        <f>AND(Naslovnica!F45,"AAAAAHHfYG4=")</f>
        <v>#VALUE!</v>
      </c>
      <c r="DH3" t="e">
        <f>AND(Naslovnica!G45,"AAAAAHHfYG8=")</f>
        <v>#VALUE!</v>
      </c>
      <c r="DI3" t="e">
        <f>AND(Naslovnica!H45,"AAAAAHHfYHA=")</f>
        <v>#VALUE!</v>
      </c>
      <c r="DJ3" t="e">
        <f>AND(Naslovnica!I45,"AAAAAHHfYHE=")</f>
        <v>#VALUE!</v>
      </c>
      <c r="DK3" t="e">
        <f>AND(Naslovnica!J45,"AAAAAHHfYHI=")</f>
        <v>#VALUE!</v>
      </c>
      <c r="DL3" t="e">
        <f>AND(Naslovnica!K45,"AAAAAHHfYHM=")</f>
        <v>#VALUE!</v>
      </c>
      <c r="DM3" t="e">
        <f>AND(Naslovnica!L45,"AAAAAHHfYHQ=")</f>
        <v>#VALUE!</v>
      </c>
      <c r="DN3" t="e">
        <f>AND(Naslovnica!M45,"AAAAAHHfYHU=")</f>
        <v>#VALUE!</v>
      </c>
      <c r="DO3">
        <f>IF(Naslovnica!46:46,"AAAAAHHfYHY=",0)</f>
        <v>0</v>
      </c>
      <c r="DP3" t="e">
        <f>AND(Naslovnica!A46,"AAAAAHHfYHc=")</f>
        <v>#VALUE!</v>
      </c>
      <c r="DQ3" t="e">
        <f>AND(Naslovnica!B46,"AAAAAHHfYHg=")</f>
        <v>#VALUE!</v>
      </c>
      <c r="DR3" t="e">
        <f>AND(Naslovnica!C46,"AAAAAHHfYHk=")</f>
        <v>#VALUE!</v>
      </c>
      <c r="DS3" t="e">
        <f>AND(Naslovnica!D46,"AAAAAHHfYHo=")</f>
        <v>#VALUE!</v>
      </c>
      <c r="DT3" t="e">
        <f>AND(Naslovnica!E46,"AAAAAHHfYHs=")</f>
        <v>#VALUE!</v>
      </c>
      <c r="DU3" t="e">
        <f>AND(Naslovnica!F46,"AAAAAHHfYHw=")</f>
        <v>#VALUE!</v>
      </c>
      <c r="DV3" t="e">
        <f>AND(Naslovnica!G46,"AAAAAHHfYH0=")</f>
        <v>#VALUE!</v>
      </c>
      <c r="DW3" t="e">
        <f>AND(Naslovnica!H46,"AAAAAHHfYH4=")</f>
        <v>#VALUE!</v>
      </c>
      <c r="DX3" t="e">
        <f>AND(Naslovnica!I46,"AAAAAHHfYH8=")</f>
        <v>#VALUE!</v>
      </c>
      <c r="DY3" t="e">
        <f>AND(Naslovnica!J46,"AAAAAHHfYIA=")</f>
        <v>#VALUE!</v>
      </c>
      <c r="DZ3" t="e">
        <f>AND(Naslovnica!K46,"AAAAAHHfYIE=")</f>
        <v>#VALUE!</v>
      </c>
      <c r="EA3" t="e">
        <f>AND(Naslovnica!L46,"AAAAAHHfYII=")</f>
        <v>#VALUE!</v>
      </c>
      <c r="EB3" t="e">
        <f>AND(Naslovnica!M46,"AAAAAHHfYIM=")</f>
        <v>#VALUE!</v>
      </c>
      <c r="EC3">
        <f>IF(Naslovnica!47:47,"AAAAAHHfYIQ=",0)</f>
        <v>0</v>
      </c>
      <c r="ED3" t="e">
        <f>AND(Naslovnica!A47,"AAAAAHHfYIU=")</f>
        <v>#VALUE!</v>
      </c>
      <c r="EE3" t="e">
        <f>AND(Naslovnica!B47,"AAAAAHHfYIY=")</f>
        <v>#VALUE!</v>
      </c>
      <c r="EF3" t="e">
        <f>AND(Naslovnica!C47,"AAAAAHHfYIc=")</f>
        <v>#VALUE!</v>
      </c>
      <c r="EG3" t="e">
        <f>AND(Naslovnica!D47,"AAAAAHHfYIg=")</f>
        <v>#VALUE!</v>
      </c>
      <c r="EH3" t="e">
        <f>AND(Naslovnica!E47,"AAAAAHHfYIk=")</f>
        <v>#VALUE!</v>
      </c>
      <c r="EI3" t="e">
        <f>AND(Naslovnica!F47,"AAAAAHHfYIo=")</f>
        <v>#VALUE!</v>
      </c>
      <c r="EJ3" t="e">
        <f>AND(Naslovnica!G47,"AAAAAHHfYIs=")</f>
        <v>#VALUE!</v>
      </c>
      <c r="EK3" t="e">
        <f>AND(Naslovnica!H47,"AAAAAHHfYIw=")</f>
        <v>#VALUE!</v>
      </c>
      <c r="EL3" t="e">
        <f>AND(Naslovnica!I47,"AAAAAHHfYI0=")</f>
        <v>#VALUE!</v>
      </c>
      <c r="EM3" t="e">
        <f>AND(Naslovnica!J47,"AAAAAHHfYI4=")</f>
        <v>#VALUE!</v>
      </c>
      <c r="EN3" t="e">
        <f>AND(Naslovnica!K47,"AAAAAHHfYI8=")</f>
        <v>#VALUE!</v>
      </c>
      <c r="EO3" t="e">
        <f>AND(Naslovnica!L47,"AAAAAHHfYJA=")</f>
        <v>#VALUE!</v>
      </c>
      <c r="EP3" t="e">
        <f>AND(Naslovnica!M47,"AAAAAHHfYJE=")</f>
        <v>#VALUE!</v>
      </c>
      <c r="EQ3">
        <f>IF(Naslovnica!48:48,"AAAAAHHfYJI=",0)</f>
        <v>0</v>
      </c>
      <c r="ER3" t="e">
        <f>AND(Naslovnica!A48,"AAAAAHHfYJM=")</f>
        <v>#VALUE!</v>
      </c>
      <c r="ES3" t="e">
        <f>AND(Naslovnica!B48,"AAAAAHHfYJQ=")</f>
        <v>#VALUE!</v>
      </c>
      <c r="ET3" t="e">
        <f>AND(Naslovnica!C48,"AAAAAHHfYJU=")</f>
        <v>#VALUE!</v>
      </c>
      <c r="EU3" t="e">
        <f>AND(Naslovnica!D48,"AAAAAHHfYJY=")</f>
        <v>#VALUE!</v>
      </c>
      <c r="EV3" t="e">
        <f>AND(Naslovnica!E48,"AAAAAHHfYJc=")</f>
        <v>#VALUE!</v>
      </c>
      <c r="EW3" t="e">
        <f>AND(Naslovnica!F48,"AAAAAHHfYJg=")</f>
        <v>#VALUE!</v>
      </c>
      <c r="EX3" t="e">
        <f>AND(Naslovnica!G48,"AAAAAHHfYJk=")</f>
        <v>#VALUE!</v>
      </c>
      <c r="EY3" t="e">
        <f>AND(Naslovnica!H48,"AAAAAHHfYJo=")</f>
        <v>#VALUE!</v>
      </c>
      <c r="EZ3" t="e">
        <f>AND(Naslovnica!I48,"AAAAAHHfYJs=")</f>
        <v>#VALUE!</v>
      </c>
      <c r="FA3" t="e">
        <f>AND(Naslovnica!J48,"AAAAAHHfYJw=")</f>
        <v>#VALUE!</v>
      </c>
      <c r="FB3" t="e">
        <f>AND(Naslovnica!K48,"AAAAAHHfYJ0=")</f>
        <v>#VALUE!</v>
      </c>
      <c r="FC3" t="e">
        <f>AND(Naslovnica!L48,"AAAAAHHfYJ4=")</f>
        <v>#VALUE!</v>
      </c>
      <c r="FD3" t="e">
        <f>AND(Naslovnica!M48,"AAAAAHHfYJ8=")</f>
        <v>#VALUE!</v>
      </c>
      <c r="FE3">
        <f>IF(Naslovnica!49:49,"AAAAAHHfYKA=",0)</f>
        <v>0</v>
      </c>
      <c r="FF3">
        <f>IF(Naslovnica!50:50,"AAAAAHHfYKE=",0)</f>
        <v>0</v>
      </c>
      <c r="FG3">
        <f>IF(Naslovnica!51:51,"AAAAAHHfYKI=",0)</f>
        <v>0</v>
      </c>
      <c r="FH3">
        <f>IF(Naslovnica!52:52,"AAAAAHHfYKM=",0)</f>
        <v>0</v>
      </c>
      <c r="FI3">
        <f>IF(Naslovnica!53:53,"AAAAAHHfYKQ=",0)</f>
        <v>0</v>
      </c>
      <c r="FJ3">
        <f>IF(Naslovnica!54:54,"AAAAAHHfYKU=",0)</f>
        <v>0</v>
      </c>
      <c r="FK3">
        <f>IF(Naslovnica!55:55,"AAAAAHHfYKY=",0)</f>
        <v>0</v>
      </c>
      <c r="FL3">
        <f>IF(Naslovnica!56:56,"AAAAAHHfYKc=",0)</f>
        <v>0</v>
      </c>
      <c r="FM3">
        <f>IF(Naslovnica!57:57,"AAAAAHHfYKg=",0)</f>
        <v>0</v>
      </c>
      <c r="FN3">
        <f>IF(Naslovnica!58:58,"AAAAAHHfYKk=",0)</f>
        <v>0</v>
      </c>
      <c r="FO3">
        <f>IF(Naslovnica!59:59,"AAAAAHHfYKo=",0)</f>
        <v>0</v>
      </c>
      <c r="FP3">
        <f>IF(Naslovnica!60:60,"AAAAAHHfYKs=",0)</f>
        <v>0</v>
      </c>
      <c r="FQ3">
        <f>IF(Naslovnica!61:61,"AAAAAHHfYKw=",0)</f>
        <v>0</v>
      </c>
      <c r="FR3">
        <f>IF(Naslovnica!62:62,"AAAAAHHfYK0=",0)</f>
        <v>0</v>
      </c>
      <c r="FS3">
        <f>IF(Naslovnica!63:63,"AAAAAHHfYK4=",0)</f>
        <v>0</v>
      </c>
      <c r="FT3">
        <f>IF(Naslovnica!64:64,"AAAAAHHfYK8=",0)</f>
        <v>0</v>
      </c>
      <c r="FU3">
        <f>IF(Naslovnica!65:65,"AAAAAHHfYLA=",0)</f>
        <v>0</v>
      </c>
      <c r="FV3">
        <f>IF(Naslovnica!66:66,"AAAAAHHfYLE=",0)</f>
        <v>0</v>
      </c>
      <c r="FW3">
        <f>IF(Naslovnica!67:67,"AAAAAHHfYLI=",0)</f>
        <v>0</v>
      </c>
      <c r="FX3">
        <f>IF(Naslovnica!68:68,"AAAAAHHfYLM=",0)</f>
        <v>0</v>
      </c>
      <c r="FY3">
        <f>IF(Naslovnica!69:69,"AAAAAHHfYLQ=",0)</f>
        <v>0</v>
      </c>
      <c r="FZ3">
        <f>IF(Naslovnica!70:70,"AAAAAHHfYLU=",0)</f>
        <v>0</v>
      </c>
      <c r="GA3">
        <f>IF(Naslovnica!71:71,"AAAAAHHfYLY=",0)</f>
        <v>0</v>
      </c>
      <c r="GB3">
        <f>IF(Naslovnica!72:72,"AAAAAHHfYLc=",0)</f>
        <v>0</v>
      </c>
      <c r="GC3">
        <f>IF(Naslovnica!73:73,"AAAAAHHfYLg=",0)</f>
        <v>0</v>
      </c>
      <c r="GD3">
        <f>IF(Naslovnica!74:74,"AAAAAHHfYLk=",0)</f>
        <v>0</v>
      </c>
      <c r="GE3">
        <f>IF(Naslovnica!75:75,"AAAAAHHfYLo=",0)</f>
        <v>0</v>
      </c>
      <c r="GF3">
        <f>IF(Naslovnica!76:76,"AAAAAHHfYLs=",0)</f>
        <v>0</v>
      </c>
      <c r="GG3">
        <f>IF(Naslovnica!77:77,"AAAAAHHfYLw=",0)</f>
        <v>0</v>
      </c>
      <c r="GH3">
        <f>IF(Naslovnica!78:78,"AAAAAHHfYL0=",0)</f>
        <v>0</v>
      </c>
      <c r="GI3">
        <f>IF(Naslovnica!79:79,"AAAAAHHfYL4=",0)</f>
        <v>0</v>
      </c>
      <c r="GJ3">
        <f>IF(Naslovnica!80:80,"AAAAAHHfYL8=",0)</f>
        <v>0</v>
      </c>
      <c r="GK3">
        <f>IF(Naslovnica!81:81,"AAAAAHHfYMA=",0)</f>
        <v>0</v>
      </c>
      <c r="GL3">
        <f>IF(Naslovnica!82:82,"AAAAAHHfYME=",0)</f>
        <v>0</v>
      </c>
      <c r="GM3">
        <f>IF(Naslovnica!83:83,"AAAAAHHfYMI=",0)</f>
        <v>0</v>
      </c>
      <c r="GN3">
        <f>IF(Naslovnica!84:84,"AAAAAHHfYMM=",0)</f>
        <v>0</v>
      </c>
      <c r="GO3">
        <f>IF(Naslovnica!85:85,"AAAAAHHfYMQ=",0)</f>
        <v>0</v>
      </c>
      <c r="GP3">
        <f>IF(Naslovnica!86:86,"AAAAAHHfYMU=",0)</f>
        <v>0</v>
      </c>
      <c r="GQ3">
        <f>IF(Naslovnica!87:87,"AAAAAHHfYMY=",0)</f>
        <v>0</v>
      </c>
      <c r="GR3">
        <f>IF(Naslovnica!88:88,"AAAAAHHfYMc=",0)</f>
        <v>0</v>
      </c>
      <c r="GS3">
        <f>IF(Naslovnica!89:89,"AAAAAHHfYMg=",0)</f>
        <v>0</v>
      </c>
      <c r="GT3">
        <f>IF(Naslovnica!90:90,"AAAAAHHfYMk=",0)</f>
        <v>0</v>
      </c>
      <c r="GU3">
        <f>IF(Naslovnica!91:91,"AAAAAHHfYMo=",0)</f>
        <v>0</v>
      </c>
      <c r="GV3">
        <f>IF(Naslovnica!92:92,"AAAAAHHfYMs=",0)</f>
        <v>0</v>
      </c>
      <c r="GW3">
        <f>IF(Naslovnica!93:93,"AAAAAHHfYMw=",0)</f>
        <v>0</v>
      </c>
      <c r="GX3">
        <f>IF(Naslovnica!94:94,"AAAAAHHfYM0=",0)</f>
        <v>0</v>
      </c>
      <c r="GY3">
        <f>IF(Naslovnica!95:95,"AAAAAHHfYM4=",0)</f>
        <v>0</v>
      </c>
      <c r="GZ3">
        <f>IF(Naslovnica!96:96,"AAAAAHHfYM8=",0)</f>
        <v>0</v>
      </c>
      <c r="HA3">
        <f>IF(Naslovnica!97:97,"AAAAAHHfYNA=",0)</f>
        <v>0</v>
      </c>
      <c r="HB3">
        <f>IF(Naslovnica!98:98,"AAAAAHHfYNE=",0)</f>
        <v>0</v>
      </c>
      <c r="HC3">
        <f>IF(Naslovnica!99:99,"AAAAAHHfYNI=",0)</f>
        <v>0</v>
      </c>
      <c r="HD3">
        <f>IF(Naslovnica!100:100,"AAAAAHHfYNM=",0)</f>
        <v>0</v>
      </c>
      <c r="HE3">
        <f>IF(Naslovnica!101:101,"AAAAAHHfYNQ=",0)</f>
        <v>0</v>
      </c>
      <c r="HF3">
        <f>IF(Naslovnica!102:102,"AAAAAHHfYNU=",0)</f>
        <v>0</v>
      </c>
      <c r="HG3">
        <f>IF(Naslovnica!103:103,"AAAAAHHfYNY=",0)</f>
        <v>0</v>
      </c>
      <c r="HH3">
        <f>IF(Naslovnica!104:104,"AAAAAHHfYNc=",0)</f>
        <v>0</v>
      </c>
      <c r="HI3">
        <f>IF(Naslovnica!105:105,"AAAAAHHfYNg=",0)</f>
        <v>0</v>
      </c>
      <c r="HJ3">
        <f>IF(Naslovnica!106:106,"AAAAAHHfYNk=",0)</f>
        <v>0</v>
      </c>
      <c r="HK3">
        <f>IF(Naslovnica!107:107,"AAAAAHHfYNo=",0)</f>
        <v>0</v>
      </c>
      <c r="HL3">
        <f>IF(Naslovnica!108:108,"AAAAAHHfYNs=",0)</f>
        <v>0</v>
      </c>
      <c r="HM3">
        <f>IF(Naslovnica!109:109,"AAAAAHHfYNw=",0)</f>
        <v>0</v>
      </c>
      <c r="HN3">
        <f>IF(Naslovnica!110:110,"AAAAAHHfYN0=",0)</f>
        <v>0</v>
      </c>
      <c r="HO3">
        <f>IF(Naslovnica!111:111,"AAAAAHHfYN4=",0)</f>
        <v>0</v>
      </c>
      <c r="HP3">
        <f>IF(Naslovnica!112:112,"AAAAAHHfYN8=",0)</f>
        <v>0</v>
      </c>
      <c r="HQ3">
        <f>IF(Naslovnica!113:113,"AAAAAHHfYOA=",0)</f>
        <v>0</v>
      </c>
      <c r="HR3">
        <f>IF(Naslovnica!114:114,"AAAAAHHfYOE=",0)</f>
        <v>0</v>
      </c>
      <c r="HS3">
        <f>IF(Naslovnica!115:115,"AAAAAHHfYOI=",0)</f>
        <v>0</v>
      </c>
      <c r="HT3">
        <f>IF(Naslovnica!116:116,"AAAAAHHfYOM=",0)</f>
        <v>0</v>
      </c>
      <c r="HU3">
        <f>IF(Naslovnica!117:117,"AAAAAHHfYOQ=",0)</f>
        <v>0</v>
      </c>
      <c r="HV3">
        <f>IF(Naslovnica!118:118,"AAAAAHHfYOU=",0)</f>
        <v>0</v>
      </c>
      <c r="HW3">
        <f>IF(Naslovnica!119:119,"AAAAAHHfYOY=",0)</f>
        <v>0</v>
      </c>
      <c r="HX3">
        <f>IF(Naslovnica!120:120,"AAAAAHHfYOc=",0)</f>
        <v>0</v>
      </c>
      <c r="HY3">
        <f>IF(Naslovnica!121:121,"AAAAAHHfYOg=",0)</f>
        <v>0</v>
      </c>
      <c r="HZ3">
        <f>IF(Naslovnica!A:A,"AAAAAHHfYOk=",0)</f>
        <v>0</v>
      </c>
      <c r="IA3" t="e">
        <f>IF(Naslovnica!B:B,"AAAAAHHfYOo=",0)</f>
        <v>#VALUE!</v>
      </c>
      <c r="IB3">
        <f>IF(Naslovnica!C:C,"AAAAAHHfYOs=",0)</f>
        <v>0</v>
      </c>
      <c r="IC3">
        <f>IF(Naslovnica!D:D,"AAAAAHHfYOw=",0)</f>
        <v>0</v>
      </c>
      <c r="ID3">
        <f>IF(Naslovnica!E:E,"AAAAAHHfYO0=",0)</f>
        <v>0</v>
      </c>
      <c r="IE3">
        <f>IF(Naslovnica!F:F,"AAAAAHHfYO4=",0)</f>
        <v>0</v>
      </c>
      <c r="IF3">
        <f>IF(Naslovnica!G:G,"AAAAAHHfYO8=",0)</f>
        <v>0</v>
      </c>
      <c r="IG3">
        <f>IF(Naslovnica!H:H,"AAAAAHHfYPA=",0)</f>
        <v>0</v>
      </c>
      <c r="IH3">
        <f>IF(Naslovnica!I:I,"AAAAAHHfYPE=",0)</f>
        <v>0</v>
      </c>
      <c r="II3">
        <f>IF(Naslovnica!J:J,"AAAAAHHfYPI=",0)</f>
        <v>0</v>
      </c>
      <c r="IJ3">
        <f>IF(Naslovnica!K:K,"AAAAAHHfYPM=",0)</f>
        <v>0</v>
      </c>
      <c r="IK3">
        <f>IF(Naslovnica!L:L,"AAAAAHHfYPQ=",0)</f>
        <v>0</v>
      </c>
      <c r="IL3">
        <f>IF(Naslovnica!M:M,"AAAAAHHfYPU=",0)</f>
        <v>0</v>
      </c>
      <c r="IM3" t="e">
        <f>IF(#REF!,"AAAAAHHfYPY=",0)</f>
        <v>#REF!</v>
      </c>
      <c r="IN3" t="e">
        <f>AND(#REF!,"AAAAAHHfYPc=")</f>
        <v>#REF!</v>
      </c>
      <c r="IO3" t="e">
        <f>AND(#REF!,"AAAAAHHfYPg=")</f>
        <v>#REF!</v>
      </c>
      <c r="IP3" t="e">
        <f>AND(#REF!,"AAAAAHHfYPk=")</f>
        <v>#REF!</v>
      </c>
      <c r="IQ3" t="e">
        <f>AND(#REF!,"AAAAAHHfYPo=")</f>
        <v>#REF!</v>
      </c>
      <c r="IR3" t="e">
        <f>AND(#REF!,"AAAAAHHfYPs=")</f>
        <v>#REF!</v>
      </c>
      <c r="IS3" t="e">
        <f>AND(#REF!,"AAAAAHHfYPw=")</f>
        <v>#REF!</v>
      </c>
      <c r="IT3" t="e">
        <f>AND(#REF!,"AAAAAHHfYP0=")</f>
        <v>#REF!</v>
      </c>
      <c r="IU3" t="e">
        <f>AND(#REF!,"AAAAAHHfYP4=")</f>
        <v>#REF!</v>
      </c>
      <c r="IV3" t="e">
        <f>AND(#REF!,"AAAAAHHfYP8=")</f>
        <v>#REF!</v>
      </c>
    </row>
    <row r="4" spans="1:256">
      <c r="A4" t="e">
        <f>AND(#REF!,"AAAAAH9/5wA=")</f>
        <v>#REF!</v>
      </c>
      <c r="B4" t="e">
        <f>AND(#REF!,"AAAAAH9/5wE=")</f>
        <v>#REF!</v>
      </c>
      <c r="C4" t="e">
        <f>AND(#REF!,"AAAAAH9/5wI=")</f>
        <v>#REF!</v>
      </c>
      <c r="D4" t="e">
        <f>IF(#REF!,"AAAAAH9/5wM=",0)</f>
        <v>#REF!</v>
      </c>
      <c r="E4" t="e">
        <f>AND(#REF!,"AAAAAH9/5wQ=")</f>
        <v>#REF!</v>
      </c>
      <c r="F4" t="e">
        <f>AND(#REF!,"AAAAAH9/5wU=")</f>
        <v>#REF!</v>
      </c>
      <c r="G4" t="e">
        <f>AND(#REF!,"AAAAAH9/5wY=")</f>
        <v>#REF!</v>
      </c>
      <c r="H4" t="e">
        <f>AND(#REF!,"AAAAAH9/5wc=")</f>
        <v>#REF!</v>
      </c>
      <c r="I4" t="e">
        <f>AND(#REF!,"AAAAAH9/5wg=")</f>
        <v>#REF!</v>
      </c>
      <c r="J4" t="e">
        <f>AND(#REF!,"AAAAAH9/5wk=")</f>
        <v>#REF!</v>
      </c>
      <c r="K4" t="e">
        <f>AND(#REF!,"AAAAAH9/5wo=")</f>
        <v>#REF!</v>
      </c>
      <c r="L4" t="e">
        <f>AND(#REF!,"AAAAAH9/5ws=")</f>
        <v>#REF!</v>
      </c>
      <c r="M4" t="e">
        <f>AND(#REF!,"AAAAAH9/5ww=")</f>
        <v>#REF!</v>
      </c>
      <c r="N4" t="e">
        <f>AND(#REF!,"AAAAAH9/5w0=")</f>
        <v>#REF!</v>
      </c>
      <c r="O4" t="e">
        <f>AND(#REF!,"AAAAAH9/5w4=")</f>
        <v>#REF!</v>
      </c>
      <c r="P4" t="e">
        <f>AND(#REF!,"AAAAAH9/5w8=")</f>
        <v>#REF!</v>
      </c>
      <c r="Q4" t="e">
        <f>IF(#REF!,"AAAAAH9/5xA=",0)</f>
        <v>#REF!</v>
      </c>
      <c r="R4" t="e">
        <f>AND(#REF!,"AAAAAH9/5xE=")</f>
        <v>#REF!</v>
      </c>
      <c r="S4" t="e">
        <f>AND(#REF!,"AAAAAH9/5xI=")</f>
        <v>#REF!</v>
      </c>
      <c r="T4" t="e">
        <f>AND(#REF!,"AAAAAH9/5xM=")</f>
        <v>#REF!</v>
      </c>
      <c r="U4" t="e">
        <f>AND(#REF!,"AAAAAH9/5xQ=")</f>
        <v>#REF!</v>
      </c>
      <c r="V4" t="e">
        <f>AND(#REF!,"AAAAAH9/5xU=")</f>
        <v>#REF!</v>
      </c>
      <c r="W4" t="e">
        <f>AND(#REF!,"AAAAAH9/5xY=")</f>
        <v>#REF!</v>
      </c>
      <c r="X4" t="e">
        <f>AND(#REF!,"AAAAAH9/5xc=")</f>
        <v>#REF!</v>
      </c>
      <c r="Y4" t="e">
        <f>AND(#REF!,"AAAAAH9/5xg=")</f>
        <v>#REF!</v>
      </c>
      <c r="Z4" t="e">
        <f>AND(#REF!,"AAAAAH9/5xk=")</f>
        <v>#REF!</v>
      </c>
      <c r="AA4" t="e">
        <f>AND(#REF!,"AAAAAH9/5xo=")</f>
        <v>#REF!</v>
      </c>
      <c r="AB4" t="e">
        <f>AND(#REF!,"AAAAAH9/5xs=")</f>
        <v>#REF!</v>
      </c>
      <c r="AC4" t="e">
        <f>AND(#REF!,"AAAAAH9/5xw=")</f>
        <v>#REF!</v>
      </c>
      <c r="AD4" t="e">
        <f>IF(#REF!,"AAAAAH9/5x0=",0)</f>
        <v>#REF!</v>
      </c>
      <c r="AE4" t="e">
        <f>AND(#REF!,"AAAAAH9/5x4=")</f>
        <v>#REF!</v>
      </c>
      <c r="AF4" t="e">
        <f>AND(#REF!,"AAAAAH9/5x8=")</f>
        <v>#REF!</v>
      </c>
      <c r="AG4" t="e">
        <f>AND(#REF!,"AAAAAH9/5yA=")</f>
        <v>#REF!</v>
      </c>
      <c r="AH4" t="e">
        <f>AND(#REF!,"AAAAAH9/5yE=")</f>
        <v>#REF!</v>
      </c>
      <c r="AI4" t="e">
        <f>AND(#REF!,"AAAAAH9/5yI=")</f>
        <v>#REF!</v>
      </c>
      <c r="AJ4" t="e">
        <f>AND(#REF!,"AAAAAH9/5yM=")</f>
        <v>#REF!</v>
      </c>
      <c r="AK4" t="e">
        <f>AND(#REF!,"AAAAAH9/5yQ=")</f>
        <v>#REF!</v>
      </c>
      <c r="AL4" t="e">
        <f>AND(#REF!,"AAAAAH9/5yU=")</f>
        <v>#REF!</v>
      </c>
      <c r="AM4" t="e">
        <f>AND(#REF!,"AAAAAH9/5yY=")</f>
        <v>#REF!</v>
      </c>
      <c r="AN4" t="e">
        <f>AND(#REF!,"AAAAAH9/5yc=")</f>
        <v>#REF!</v>
      </c>
      <c r="AO4" t="e">
        <f>AND(#REF!,"AAAAAH9/5yg=")</f>
        <v>#REF!</v>
      </c>
      <c r="AP4" t="e">
        <f>AND(#REF!,"AAAAAH9/5yk=")</f>
        <v>#REF!</v>
      </c>
      <c r="AQ4" t="e">
        <f>IF(#REF!,"AAAAAH9/5yo=",0)</f>
        <v>#REF!</v>
      </c>
      <c r="AR4" t="e">
        <f>AND(#REF!,"AAAAAH9/5ys=")</f>
        <v>#REF!</v>
      </c>
      <c r="AS4" t="e">
        <f>AND(#REF!,"AAAAAH9/5yw=")</f>
        <v>#REF!</v>
      </c>
      <c r="AT4" t="e">
        <f>AND(#REF!,"AAAAAH9/5y0=")</f>
        <v>#REF!</v>
      </c>
      <c r="AU4" t="e">
        <f>AND(#REF!,"AAAAAH9/5y4=")</f>
        <v>#REF!</v>
      </c>
      <c r="AV4" t="e">
        <f>AND(#REF!,"AAAAAH9/5y8=")</f>
        <v>#REF!</v>
      </c>
      <c r="AW4" t="e">
        <f>AND(#REF!,"AAAAAH9/5zA=")</f>
        <v>#REF!</v>
      </c>
      <c r="AX4" t="e">
        <f>AND(#REF!,"AAAAAH9/5zE=")</f>
        <v>#REF!</v>
      </c>
      <c r="AY4" t="e">
        <f>AND(#REF!,"AAAAAH9/5zI=")</f>
        <v>#REF!</v>
      </c>
      <c r="AZ4" t="e">
        <f>AND(#REF!,"AAAAAH9/5zM=")</f>
        <v>#REF!</v>
      </c>
      <c r="BA4" t="e">
        <f>AND(#REF!,"AAAAAH9/5zQ=")</f>
        <v>#REF!</v>
      </c>
      <c r="BB4" t="e">
        <f>AND(#REF!,"AAAAAH9/5zU=")</f>
        <v>#REF!</v>
      </c>
      <c r="BC4" t="e">
        <f>AND(#REF!,"AAAAAH9/5zY=")</f>
        <v>#REF!</v>
      </c>
      <c r="BD4" t="e">
        <f>IF(#REF!,"AAAAAH9/5zc=",0)</f>
        <v>#REF!</v>
      </c>
      <c r="BE4" t="e">
        <f>AND(#REF!,"AAAAAH9/5zg=")</f>
        <v>#REF!</v>
      </c>
      <c r="BF4" t="e">
        <f>AND(#REF!,"AAAAAH9/5zk=")</f>
        <v>#REF!</v>
      </c>
      <c r="BG4" t="e">
        <f>AND(#REF!,"AAAAAH9/5zo=")</f>
        <v>#REF!</v>
      </c>
      <c r="BH4" t="e">
        <f>AND(#REF!,"AAAAAH9/5zs=")</f>
        <v>#REF!</v>
      </c>
      <c r="BI4" t="e">
        <f>AND(#REF!,"AAAAAH9/5zw=")</f>
        <v>#REF!</v>
      </c>
      <c r="BJ4" t="e">
        <f>AND(#REF!,"AAAAAH9/5z0=")</f>
        <v>#REF!</v>
      </c>
      <c r="BK4" t="e">
        <f>AND(#REF!,"AAAAAH9/5z4=")</f>
        <v>#REF!</v>
      </c>
      <c r="BL4" t="e">
        <f>AND(#REF!,"AAAAAH9/5z8=")</f>
        <v>#REF!</v>
      </c>
      <c r="BM4" t="e">
        <f>AND(#REF!,"AAAAAH9/50A=")</f>
        <v>#REF!</v>
      </c>
      <c r="BN4" t="e">
        <f>AND(#REF!,"AAAAAH9/50E=")</f>
        <v>#REF!</v>
      </c>
      <c r="BO4" t="e">
        <f>AND(#REF!,"AAAAAH9/50I=")</f>
        <v>#REF!</v>
      </c>
      <c r="BP4" t="e">
        <f>AND(#REF!,"AAAAAH9/50M=")</f>
        <v>#REF!</v>
      </c>
      <c r="BQ4" t="e">
        <f>IF(#REF!,"AAAAAH9/50Q=",0)</f>
        <v>#REF!</v>
      </c>
      <c r="BR4" t="e">
        <f>AND(#REF!,"AAAAAH9/50U=")</f>
        <v>#REF!</v>
      </c>
      <c r="BS4" t="e">
        <f>AND(#REF!,"AAAAAH9/50Y=")</f>
        <v>#REF!</v>
      </c>
      <c r="BT4" t="e">
        <f>AND(#REF!,"AAAAAH9/50c=")</f>
        <v>#REF!</v>
      </c>
      <c r="BU4" t="e">
        <f>AND(#REF!,"AAAAAH9/50g=")</f>
        <v>#REF!</v>
      </c>
      <c r="BV4" t="e">
        <f>AND(#REF!,"AAAAAH9/50k=")</f>
        <v>#REF!</v>
      </c>
      <c r="BW4" t="e">
        <f>AND(#REF!,"AAAAAH9/50o=")</f>
        <v>#REF!</v>
      </c>
      <c r="BX4" t="e">
        <f>AND(#REF!,"AAAAAH9/50s=")</f>
        <v>#REF!</v>
      </c>
      <c r="BY4" t="e">
        <f>AND(#REF!,"AAAAAH9/50w=")</f>
        <v>#REF!</v>
      </c>
      <c r="BZ4" t="e">
        <f>AND(#REF!,"AAAAAH9/500=")</f>
        <v>#REF!</v>
      </c>
      <c r="CA4" t="e">
        <f>AND(#REF!,"AAAAAH9/504=")</f>
        <v>#REF!</v>
      </c>
      <c r="CB4" t="e">
        <f>AND(#REF!,"AAAAAH9/508=")</f>
        <v>#REF!</v>
      </c>
      <c r="CC4" t="e">
        <f>AND(#REF!,"AAAAAH9/51A=")</f>
        <v>#REF!</v>
      </c>
      <c r="CD4" t="e">
        <f>IF(#REF!,"AAAAAH9/51E=",0)</f>
        <v>#REF!</v>
      </c>
      <c r="CE4" t="e">
        <f>AND(#REF!,"AAAAAH9/51I=")</f>
        <v>#REF!</v>
      </c>
      <c r="CF4" t="e">
        <f>AND(#REF!,"AAAAAH9/51M=")</f>
        <v>#REF!</v>
      </c>
      <c r="CG4" t="e">
        <f>AND(#REF!,"AAAAAH9/51Q=")</f>
        <v>#REF!</v>
      </c>
      <c r="CH4" t="e">
        <f>AND(#REF!,"AAAAAH9/51U=")</f>
        <v>#REF!</v>
      </c>
      <c r="CI4" t="e">
        <f>AND(#REF!,"AAAAAH9/51Y=")</f>
        <v>#REF!</v>
      </c>
      <c r="CJ4" t="e">
        <f>AND(#REF!,"AAAAAH9/51c=")</f>
        <v>#REF!</v>
      </c>
      <c r="CK4" t="e">
        <f>AND(#REF!,"AAAAAH9/51g=")</f>
        <v>#REF!</v>
      </c>
      <c r="CL4" t="e">
        <f>AND(#REF!,"AAAAAH9/51k=")</f>
        <v>#REF!</v>
      </c>
      <c r="CM4" t="e">
        <f>AND(#REF!,"AAAAAH9/51o=")</f>
        <v>#REF!</v>
      </c>
      <c r="CN4" t="e">
        <f>AND(#REF!,"AAAAAH9/51s=")</f>
        <v>#REF!</v>
      </c>
      <c r="CO4" t="e">
        <f>AND(#REF!,"AAAAAH9/51w=")</f>
        <v>#REF!</v>
      </c>
      <c r="CP4" t="e">
        <f>AND(#REF!,"AAAAAH9/510=")</f>
        <v>#REF!</v>
      </c>
      <c r="CQ4" t="e">
        <f>IF(#REF!,"AAAAAH9/514=",0)</f>
        <v>#REF!</v>
      </c>
      <c r="CR4" t="e">
        <f>AND(#REF!,"AAAAAH9/518=")</f>
        <v>#REF!</v>
      </c>
      <c r="CS4" t="e">
        <f>AND(#REF!,"AAAAAH9/52A=")</f>
        <v>#REF!</v>
      </c>
      <c r="CT4" t="e">
        <f>AND(#REF!,"AAAAAH9/52E=")</f>
        <v>#REF!</v>
      </c>
      <c r="CU4" t="e">
        <f>AND(#REF!,"AAAAAH9/52I=")</f>
        <v>#REF!</v>
      </c>
      <c r="CV4" t="e">
        <f>AND(#REF!,"AAAAAH9/52M=")</f>
        <v>#REF!</v>
      </c>
      <c r="CW4" t="e">
        <f>AND(#REF!,"AAAAAH9/52Q=")</f>
        <v>#REF!</v>
      </c>
      <c r="CX4" t="e">
        <f>AND(#REF!,"AAAAAH9/52U=")</f>
        <v>#REF!</v>
      </c>
      <c r="CY4" t="e">
        <f>AND(#REF!,"AAAAAH9/52Y=")</f>
        <v>#REF!</v>
      </c>
      <c r="CZ4" t="e">
        <f>AND(#REF!,"AAAAAH9/52c=")</f>
        <v>#REF!</v>
      </c>
      <c r="DA4" t="e">
        <f>AND(#REF!,"AAAAAH9/52g=")</f>
        <v>#REF!</v>
      </c>
      <c r="DB4" t="e">
        <f>AND(#REF!,"AAAAAH9/52k=")</f>
        <v>#REF!</v>
      </c>
      <c r="DC4" t="e">
        <f>AND(#REF!,"AAAAAH9/52o=")</f>
        <v>#REF!</v>
      </c>
      <c r="DD4" t="e">
        <f>IF(#REF!,"AAAAAH9/52s=",0)</f>
        <v>#REF!</v>
      </c>
      <c r="DE4" t="e">
        <f>AND(#REF!,"AAAAAH9/52w=")</f>
        <v>#REF!</v>
      </c>
      <c r="DF4" t="e">
        <f>AND(#REF!,"AAAAAH9/520=")</f>
        <v>#REF!</v>
      </c>
      <c r="DG4" t="e">
        <f>AND(#REF!,"AAAAAH9/524=")</f>
        <v>#REF!</v>
      </c>
      <c r="DH4" t="e">
        <f>AND(#REF!,"AAAAAH9/528=")</f>
        <v>#REF!</v>
      </c>
      <c r="DI4" t="e">
        <f>AND(#REF!,"AAAAAH9/53A=")</f>
        <v>#REF!</v>
      </c>
      <c r="DJ4" t="e">
        <f>AND(#REF!,"AAAAAH9/53E=")</f>
        <v>#REF!</v>
      </c>
      <c r="DK4" t="e">
        <f>AND(#REF!,"AAAAAH9/53I=")</f>
        <v>#REF!</v>
      </c>
      <c r="DL4" t="e">
        <f>AND(#REF!,"AAAAAH9/53M=")</f>
        <v>#REF!</v>
      </c>
      <c r="DM4" t="e">
        <f>AND(#REF!,"AAAAAH9/53Q=")</f>
        <v>#REF!</v>
      </c>
      <c r="DN4" t="e">
        <f>AND(#REF!,"AAAAAH9/53U=")</f>
        <v>#REF!</v>
      </c>
      <c r="DO4" t="e">
        <f>AND(#REF!,"AAAAAH9/53Y=")</f>
        <v>#REF!</v>
      </c>
      <c r="DP4" t="e">
        <f>AND(#REF!,"AAAAAH9/53c=")</f>
        <v>#REF!</v>
      </c>
      <c r="DQ4" t="e">
        <f>IF(#REF!,"AAAAAH9/53g=",0)</f>
        <v>#REF!</v>
      </c>
      <c r="DR4" t="e">
        <f>AND(#REF!,"AAAAAH9/53k=")</f>
        <v>#REF!</v>
      </c>
      <c r="DS4" t="e">
        <f>AND(#REF!,"AAAAAH9/53o=")</f>
        <v>#REF!</v>
      </c>
      <c r="DT4" t="e">
        <f>AND(#REF!,"AAAAAH9/53s=")</f>
        <v>#REF!</v>
      </c>
      <c r="DU4" t="e">
        <f>AND(#REF!,"AAAAAH9/53w=")</f>
        <v>#REF!</v>
      </c>
      <c r="DV4" t="e">
        <f>AND(#REF!,"AAAAAH9/530=")</f>
        <v>#REF!</v>
      </c>
      <c r="DW4" t="e">
        <f>AND(#REF!,"AAAAAH9/534=")</f>
        <v>#REF!</v>
      </c>
      <c r="DX4" t="e">
        <f>AND(#REF!,"AAAAAH9/538=")</f>
        <v>#REF!</v>
      </c>
      <c r="DY4" t="e">
        <f>AND(#REF!,"AAAAAH9/54A=")</f>
        <v>#REF!</v>
      </c>
      <c r="DZ4" t="e">
        <f>AND(#REF!,"AAAAAH9/54E=")</f>
        <v>#REF!</v>
      </c>
      <c r="EA4" t="e">
        <f>AND(#REF!,"AAAAAH9/54I=")</f>
        <v>#REF!</v>
      </c>
      <c r="EB4" t="e">
        <f>AND(#REF!,"AAAAAH9/54M=")</f>
        <v>#REF!</v>
      </c>
      <c r="EC4" t="e">
        <f>AND(#REF!,"AAAAAH9/54Q=")</f>
        <v>#REF!</v>
      </c>
      <c r="ED4" t="e">
        <f>IF(#REF!,"AAAAAH9/54U=",0)</f>
        <v>#REF!</v>
      </c>
      <c r="EE4" t="e">
        <f>AND(#REF!,"AAAAAH9/54Y=")</f>
        <v>#REF!</v>
      </c>
      <c r="EF4" t="e">
        <f>AND(#REF!,"AAAAAH9/54c=")</f>
        <v>#REF!</v>
      </c>
      <c r="EG4" t="e">
        <f>AND(#REF!,"AAAAAH9/54g=")</f>
        <v>#REF!</v>
      </c>
      <c r="EH4" t="e">
        <f>AND(#REF!,"AAAAAH9/54k=")</f>
        <v>#REF!</v>
      </c>
      <c r="EI4" t="e">
        <f>AND(#REF!,"AAAAAH9/54o=")</f>
        <v>#REF!</v>
      </c>
      <c r="EJ4" t="e">
        <f>AND(#REF!,"AAAAAH9/54s=")</f>
        <v>#REF!</v>
      </c>
      <c r="EK4" t="e">
        <f>AND(#REF!,"AAAAAH9/54w=")</f>
        <v>#REF!</v>
      </c>
      <c r="EL4" t="e">
        <f>AND(#REF!,"AAAAAH9/540=")</f>
        <v>#REF!</v>
      </c>
      <c r="EM4" t="e">
        <f>AND(#REF!,"AAAAAH9/544=")</f>
        <v>#REF!</v>
      </c>
      <c r="EN4" t="e">
        <f>AND(#REF!,"AAAAAH9/548=")</f>
        <v>#REF!</v>
      </c>
      <c r="EO4" t="e">
        <f>AND(#REF!,"AAAAAH9/55A=")</f>
        <v>#REF!</v>
      </c>
      <c r="EP4" t="e">
        <f>AND(#REF!,"AAAAAH9/55E=")</f>
        <v>#REF!</v>
      </c>
      <c r="EQ4" t="e">
        <f>IF(#REF!,"AAAAAH9/55I=",0)</f>
        <v>#REF!</v>
      </c>
      <c r="ER4" t="e">
        <f>AND(#REF!,"AAAAAH9/55M=")</f>
        <v>#REF!</v>
      </c>
      <c r="ES4" t="e">
        <f>AND(#REF!,"AAAAAH9/55Q=")</f>
        <v>#REF!</v>
      </c>
      <c r="ET4" t="e">
        <f>AND(#REF!,"AAAAAH9/55U=")</f>
        <v>#REF!</v>
      </c>
      <c r="EU4" t="e">
        <f>AND(#REF!,"AAAAAH9/55Y=")</f>
        <v>#REF!</v>
      </c>
      <c r="EV4" t="e">
        <f>AND(#REF!,"AAAAAH9/55c=")</f>
        <v>#REF!</v>
      </c>
      <c r="EW4" t="e">
        <f>AND(#REF!,"AAAAAH9/55g=")</f>
        <v>#REF!</v>
      </c>
      <c r="EX4" t="e">
        <f>AND(#REF!,"AAAAAH9/55k=")</f>
        <v>#REF!</v>
      </c>
      <c r="EY4" t="e">
        <f>AND(#REF!,"AAAAAH9/55o=")</f>
        <v>#REF!</v>
      </c>
      <c r="EZ4" t="e">
        <f>AND(#REF!,"AAAAAH9/55s=")</f>
        <v>#REF!</v>
      </c>
      <c r="FA4" t="e">
        <f>AND(#REF!,"AAAAAH9/55w=")</f>
        <v>#REF!</v>
      </c>
      <c r="FB4" t="e">
        <f>AND(#REF!,"AAAAAH9/550=")</f>
        <v>#REF!</v>
      </c>
      <c r="FC4" t="e">
        <f>AND(#REF!,"AAAAAH9/554=")</f>
        <v>#REF!</v>
      </c>
      <c r="FD4" t="e">
        <f>IF(#REF!,"AAAAAH9/558=",0)</f>
        <v>#REF!</v>
      </c>
      <c r="FE4" t="e">
        <f>AND(#REF!,"AAAAAH9/56A=")</f>
        <v>#REF!</v>
      </c>
      <c r="FF4" t="e">
        <f>AND(#REF!,"AAAAAH9/56E=")</f>
        <v>#REF!</v>
      </c>
      <c r="FG4" t="e">
        <f>AND(#REF!,"AAAAAH9/56I=")</f>
        <v>#REF!</v>
      </c>
      <c r="FH4" t="e">
        <f>AND(#REF!,"AAAAAH9/56M=")</f>
        <v>#REF!</v>
      </c>
      <c r="FI4" t="e">
        <f>AND(#REF!,"AAAAAH9/56Q=")</f>
        <v>#REF!</v>
      </c>
      <c r="FJ4" t="e">
        <f>AND(#REF!,"AAAAAH9/56U=")</f>
        <v>#REF!</v>
      </c>
      <c r="FK4" t="e">
        <f>AND(#REF!,"AAAAAH9/56Y=")</f>
        <v>#REF!</v>
      </c>
      <c r="FL4" t="e">
        <f>AND(#REF!,"AAAAAH9/56c=")</f>
        <v>#REF!</v>
      </c>
      <c r="FM4" t="e">
        <f>AND(#REF!,"AAAAAH9/56g=")</f>
        <v>#REF!</v>
      </c>
      <c r="FN4" t="e">
        <f>AND(#REF!,"AAAAAH9/56k=")</f>
        <v>#REF!</v>
      </c>
      <c r="FO4" t="e">
        <f>AND(#REF!,"AAAAAH9/56o=")</f>
        <v>#REF!</v>
      </c>
      <c r="FP4" t="e">
        <f>AND(#REF!,"AAAAAH9/56s=")</f>
        <v>#REF!</v>
      </c>
      <c r="FQ4" t="e">
        <f>IF(#REF!,"AAAAAH9/56w=",0)</f>
        <v>#REF!</v>
      </c>
      <c r="FR4" t="e">
        <f>AND(#REF!,"AAAAAH9/560=")</f>
        <v>#REF!</v>
      </c>
      <c r="FS4" t="e">
        <f>AND(#REF!,"AAAAAH9/564=")</f>
        <v>#REF!</v>
      </c>
      <c r="FT4" t="e">
        <f>AND(#REF!,"AAAAAH9/568=")</f>
        <v>#REF!</v>
      </c>
      <c r="FU4" t="e">
        <f>AND(#REF!,"AAAAAH9/57A=")</f>
        <v>#REF!</v>
      </c>
      <c r="FV4" t="e">
        <f>AND(#REF!,"AAAAAH9/57E=")</f>
        <v>#REF!</v>
      </c>
      <c r="FW4" t="e">
        <f>AND(#REF!,"AAAAAH9/57I=")</f>
        <v>#REF!</v>
      </c>
      <c r="FX4" t="e">
        <f>AND(#REF!,"AAAAAH9/57M=")</f>
        <v>#REF!</v>
      </c>
      <c r="FY4" t="e">
        <f>AND(#REF!,"AAAAAH9/57Q=")</f>
        <v>#REF!</v>
      </c>
      <c r="FZ4" t="e">
        <f>AND(#REF!,"AAAAAH9/57U=")</f>
        <v>#REF!</v>
      </c>
      <c r="GA4" t="e">
        <f>AND(#REF!,"AAAAAH9/57Y=")</f>
        <v>#REF!</v>
      </c>
      <c r="GB4" t="e">
        <f>AND(#REF!,"AAAAAH9/57c=")</f>
        <v>#REF!</v>
      </c>
      <c r="GC4" t="e">
        <f>AND(#REF!,"AAAAAH9/57g=")</f>
        <v>#REF!</v>
      </c>
      <c r="GD4" t="e">
        <f>IF(#REF!,"AAAAAH9/57k=",0)</f>
        <v>#REF!</v>
      </c>
      <c r="GE4" t="e">
        <f>AND(#REF!,"AAAAAH9/57o=")</f>
        <v>#REF!</v>
      </c>
      <c r="GF4" t="e">
        <f>AND(#REF!,"AAAAAH9/57s=")</f>
        <v>#REF!</v>
      </c>
      <c r="GG4" t="e">
        <f>AND(#REF!,"AAAAAH9/57w=")</f>
        <v>#REF!</v>
      </c>
      <c r="GH4" t="e">
        <f>AND(#REF!,"AAAAAH9/570=")</f>
        <v>#REF!</v>
      </c>
      <c r="GI4" t="e">
        <f>AND(#REF!,"AAAAAH9/574=")</f>
        <v>#REF!</v>
      </c>
      <c r="GJ4" t="e">
        <f>AND(#REF!,"AAAAAH9/578=")</f>
        <v>#REF!</v>
      </c>
      <c r="GK4" t="e">
        <f>AND(#REF!,"AAAAAH9/58A=")</f>
        <v>#REF!</v>
      </c>
      <c r="GL4" t="e">
        <f>AND(#REF!,"AAAAAH9/58E=")</f>
        <v>#REF!</v>
      </c>
      <c r="GM4" t="e">
        <f>AND(#REF!,"AAAAAH9/58I=")</f>
        <v>#REF!</v>
      </c>
      <c r="GN4" t="e">
        <f>AND(#REF!,"AAAAAH9/58M=")</f>
        <v>#REF!</v>
      </c>
      <c r="GO4" t="e">
        <f>AND(#REF!,"AAAAAH9/58Q=")</f>
        <v>#REF!</v>
      </c>
      <c r="GP4" t="e">
        <f>AND(#REF!,"AAAAAH9/58U=")</f>
        <v>#REF!</v>
      </c>
      <c r="GQ4" t="e">
        <f>IF(#REF!,"AAAAAH9/58Y=",0)</f>
        <v>#REF!</v>
      </c>
      <c r="GR4" t="e">
        <f>AND(#REF!,"AAAAAH9/58c=")</f>
        <v>#REF!</v>
      </c>
      <c r="GS4" t="e">
        <f>AND(#REF!,"AAAAAH9/58g=")</f>
        <v>#REF!</v>
      </c>
      <c r="GT4" t="e">
        <f>AND(#REF!,"AAAAAH9/58k=")</f>
        <v>#REF!</v>
      </c>
      <c r="GU4" t="e">
        <f>AND(#REF!,"AAAAAH9/58o=")</f>
        <v>#REF!</v>
      </c>
      <c r="GV4" t="e">
        <f>AND(#REF!,"AAAAAH9/58s=")</f>
        <v>#REF!</v>
      </c>
      <c r="GW4" t="e">
        <f>AND(#REF!,"AAAAAH9/58w=")</f>
        <v>#REF!</v>
      </c>
      <c r="GX4" t="e">
        <f>AND(#REF!,"AAAAAH9/580=")</f>
        <v>#REF!</v>
      </c>
      <c r="GY4" t="e">
        <f>AND(#REF!,"AAAAAH9/584=")</f>
        <v>#REF!</v>
      </c>
      <c r="GZ4" t="e">
        <f>AND(#REF!,"AAAAAH9/588=")</f>
        <v>#REF!</v>
      </c>
      <c r="HA4" t="e">
        <f>AND(#REF!,"AAAAAH9/59A=")</f>
        <v>#REF!</v>
      </c>
      <c r="HB4" t="e">
        <f>AND(#REF!,"AAAAAH9/59E=")</f>
        <v>#REF!</v>
      </c>
      <c r="HC4" t="e">
        <f>AND(#REF!,"AAAAAH9/59I=")</f>
        <v>#REF!</v>
      </c>
      <c r="HD4" t="e">
        <f>IF(#REF!,"AAAAAH9/59M=",0)</f>
        <v>#REF!</v>
      </c>
      <c r="HE4" t="e">
        <f>AND(#REF!,"AAAAAH9/59Q=")</f>
        <v>#REF!</v>
      </c>
      <c r="HF4" t="e">
        <f>AND(#REF!,"AAAAAH9/59U=")</f>
        <v>#REF!</v>
      </c>
      <c r="HG4" t="e">
        <f>AND(#REF!,"AAAAAH9/59Y=")</f>
        <v>#REF!</v>
      </c>
      <c r="HH4" t="e">
        <f>AND(#REF!,"AAAAAH9/59c=")</f>
        <v>#REF!</v>
      </c>
      <c r="HI4" t="e">
        <f>AND(#REF!,"AAAAAH9/59g=")</f>
        <v>#REF!</v>
      </c>
      <c r="HJ4" t="e">
        <f>AND(#REF!,"AAAAAH9/59k=")</f>
        <v>#REF!</v>
      </c>
      <c r="HK4" t="e">
        <f>AND(#REF!,"AAAAAH9/59o=")</f>
        <v>#REF!</v>
      </c>
      <c r="HL4" t="e">
        <f>AND(#REF!,"AAAAAH9/59s=")</f>
        <v>#REF!</v>
      </c>
      <c r="HM4" t="e">
        <f>AND(#REF!,"AAAAAH9/59w=")</f>
        <v>#REF!</v>
      </c>
      <c r="HN4" t="e">
        <f>AND(#REF!,"AAAAAH9/590=")</f>
        <v>#REF!</v>
      </c>
      <c r="HO4" t="e">
        <f>AND(#REF!,"AAAAAH9/594=")</f>
        <v>#REF!</v>
      </c>
      <c r="HP4" t="e">
        <f>AND(#REF!,"AAAAAH9/598=")</f>
        <v>#REF!</v>
      </c>
      <c r="HQ4" t="e">
        <f>IF(#REF!,"AAAAAH9/5+A=",0)</f>
        <v>#REF!</v>
      </c>
      <c r="HR4" t="e">
        <f>AND(#REF!,"AAAAAH9/5+E=")</f>
        <v>#REF!</v>
      </c>
      <c r="HS4" t="e">
        <f>AND(#REF!,"AAAAAH9/5+I=")</f>
        <v>#REF!</v>
      </c>
      <c r="HT4" t="e">
        <f>AND(#REF!,"AAAAAH9/5+M=")</f>
        <v>#REF!</v>
      </c>
      <c r="HU4" t="e">
        <f>AND(#REF!,"AAAAAH9/5+Q=")</f>
        <v>#REF!</v>
      </c>
      <c r="HV4" t="e">
        <f>AND(#REF!,"AAAAAH9/5+U=")</f>
        <v>#REF!</v>
      </c>
      <c r="HW4" t="e">
        <f>AND(#REF!,"AAAAAH9/5+Y=")</f>
        <v>#REF!</v>
      </c>
      <c r="HX4" t="e">
        <f>AND(#REF!,"AAAAAH9/5+c=")</f>
        <v>#REF!</v>
      </c>
      <c r="HY4" t="e">
        <f>AND(#REF!,"AAAAAH9/5+g=")</f>
        <v>#REF!</v>
      </c>
      <c r="HZ4" t="e">
        <f>AND(#REF!,"AAAAAH9/5+k=")</f>
        <v>#REF!</v>
      </c>
      <c r="IA4" t="e">
        <f>AND(#REF!,"AAAAAH9/5+o=")</f>
        <v>#REF!</v>
      </c>
      <c r="IB4" t="e">
        <f>AND(#REF!,"AAAAAH9/5+s=")</f>
        <v>#REF!</v>
      </c>
      <c r="IC4" t="e">
        <f>AND(#REF!,"AAAAAH9/5+w=")</f>
        <v>#REF!</v>
      </c>
      <c r="ID4" t="e">
        <f>IF(#REF!,"AAAAAH9/5+0=",0)</f>
        <v>#REF!</v>
      </c>
      <c r="IE4" t="e">
        <f>AND(#REF!,"AAAAAH9/5+4=")</f>
        <v>#REF!</v>
      </c>
      <c r="IF4" t="e">
        <f>AND(#REF!,"AAAAAH9/5+8=")</f>
        <v>#REF!</v>
      </c>
      <c r="IG4" t="e">
        <f>AND(#REF!,"AAAAAH9/5/A=")</f>
        <v>#REF!</v>
      </c>
      <c r="IH4" t="e">
        <f>AND(#REF!,"AAAAAH9/5/E=")</f>
        <v>#REF!</v>
      </c>
      <c r="II4" t="e">
        <f>AND(#REF!,"AAAAAH9/5/I=")</f>
        <v>#REF!</v>
      </c>
      <c r="IJ4" t="e">
        <f>AND(#REF!,"AAAAAH9/5/M=")</f>
        <v>#REF!</v>
      </c>
      <c r="IK4" t="e">
        <f>AND(#REF!,"AAAAAH9/5/Q=")</f>
        <v>#REF!</v>
      </c>
      <c r="IL4" t="e">
        <f>AND(#REF!,"AAAAAH9/5/U=")</f>
        <v>#REF!</v>
      </c>
      <c r="IM4" t="e">
        <f>AND(#REF!,"AAAAAH9/5/Y=")</f>
        <v>#REF!</v>
      </c>
      <c r="IN4" t="e">
        <f>AND(#REF!,"AAAAAH9/5/c=")</f>
        <v>#REF!</v>
      </c>
      <c r="IO4" t="e">
        <f>AND(#REF!,"AAAAAH9/5/g=")</f>
        <v>#REF!</v>
      </c>
      <c r="IP4" t="e">
        <f>AND(#REF!,"AAAAAH9/5/k=")</f>
        <v>#REF!</v>
      </c>
      <c r="IQ4" t="e">
        <f>IF(#REF!,"AAAAAH9/5/o=",0)</f>
        <v>#REF!</v>
      </c>
      <c r="IR4" t="e">
        <f>AND(#REF!,"AAAAAH9/5/s=")</f>
        <v>#REF!</v>
      </c>
      <c r="IS4" t="e">
        <f>AND(#REF!,"AAAAAH9/5/w=")</f>
        <v>#REF!</v>
      </c>
      <c r="IT4" t="e">
        <f>AND(#REF!,"AAAAAH9/5/0=")</f>
        <v>#REF!</v>
      </c>
      <c r="IU4" t="e">
        <f>AND(#REF!,"AAAAAH9/5/4=")</f>
        <v>#REF!</v>
      </c>
      <c r="IV4" t="e">
        <f>AND(#REF!,"AAAAAH9/5/8=")</f>
        <v>#REF!</v>
      </c>
    </row>
    <row r="5" spans="1:256">
      <c r="A5" t="e">
        <f>AND(#REF!,"AAAAAHj7/QA=")</f>
        <v>#REF!</v>
      </c>
      <c r="B5" t="e">
        <f>AND(#REF!,"AAAAAHj7/QE=")</f>
        <v>#REF!</v>
      </c>
      <c r="C5" t="e">
        <f>AND(#REF!,"AAAAAHj7/QI=")</f>
        <v>#REF!</v>
      </c>
      <c r="D5" t="e">
        <f>AND(#REF!,"AAAAAHj7/QM=")</f>
        <v>#REF!</v>
      </c>
      <c r="E5" t="e">
        <f>AND(#REF!,"AAAAAHj7/QQ=")</f>
        <v>#REF!</v>
      </c>
      <c r="F5" t="e">
        <f>AND(#REF!,"AAAAAHj7/QU=")</f>
        <v>#REF!</v>
      </c>
      <c r="G5" t="e">
        <f>AND(#REF!,"AAAAAHj7/QY=")</f>
        <v>#REF!</v>
      </c>
      <c r="H5" t="e">
        <f>IF(#REF!,"AAAAAHj7/Qc=",0)</f>
        <v>#REF!</v>
      </c>
      <c r="I5" t="e">
        <f>AND(#REF!,"AAAAAHj7/Qg=")</f>
        <v>#REF!</v>
      </c>
      <c r="J5" t="e">
        <f>AND(#REF!,"AAAAAHj7/Qk=")</f>
        <v>#REF!</v>
      </c>
      <c r="K5" t="e">
        <f>AND(#REF!,"AAAAAHj7/Qo=")</f>
        <v>#REF!</v>
      </c>
      <c r="L5" t="e">
        <f>AND(#REF!,"AAAAAHj7/Qs=")</f>
        <v>#REF!</v>
      </c>
      <c r="M5" t="e">
        <f>AND(#REF!,"AAAAAHj7/Qw=")</f>
        <v>#REF!</v>
      </c>
      <c r="N5" t="e">
        <f>AND(#REF!,"AAAAAHj7/Q0=")</f>
        <v>#REF!</v>
      </c>
      <c r="O5" t="e">
        <f>AND(#REF!,"AAAAAHj7/Q4=")</f>
        <v>#REF!</v>
      </c>
      <c r="P5" t="e">
        <f>AND(#REF!,"AAAAAHj7/Q8=")</f>
        <v>#REF!</v>
      </c>
      <c r="Q5" t="e">
        <f>AND(#REF!,"AAAAAHj7/RA=")</f>
        <v>#REF!</v>
      </c>
      <c r="R5" t="e">
        <f>AND(#REF!,"AAAAAHj7/RE=")</f>
        <v>#REF!</v>
      </c>
      <c r="S5" t="e">
        <f>AND(#REF!,"AAAAAHj7/RI=")</f>
        <v>#REF!</v>
      </c>
      <c r="T5" t="e">
        <f>AND(#REF!,"AAAAAHj7/RM=")</f>
        <v>#REF!</v>
      </c>
      <c r="U5" t="e">
        <f>IF(#REF!,"AAAAAHj7/RQ=",0)</f>
        <v>#REF!</v>
      </c>
      <c r="V5" t="e">
        <f>AND(#REF!,"AAAAAHj7/RU=")</f>
        <v>#REF!</v>
      </c>
      <c r="W5" t="e">
        <f>AND(#REF!,"AAAAAHj7/RY=")</f>
        <v>#REF!</v>
      </c>
      <c r="X5" t="e">
        <f>AND(#REF!,"AAAAAHj7/Rc=")</f>
        <v>#REF!</v>
      </c>
      <c r="Y5" t="e">
        <f>AND(#REF!,"AAAAAHj7/Rg=")</f>
        <v>#REF!</v>
      </c>
      <c r="Z5" t="e">
        <f>AND(#REF!,"AAAAAHj7/Rk=")</f>
        <v>#REF!</v>
      </c>
      <c r="AA5" t="e">
        <f>AND(#REF!,"AAAAAHj7/Ro=")</f>
        <v>#REF!</v>
      </c>
      <c r="AB5" t="e">
        <f>AND(#REF!,"AAAAAHj7/Rs=")</f>
        <v>#REF!</v>
      </c>
      <c r="AC5" t="e">
        <f>AND(#REF!,"AAAAAHj7/Rw=")</f>
        <v>#REF!</v>
      </c>
      <c r="AD5" t="e">
        <f>AND(#REF!,"AAAAAHj7/R0=")</f>
        <v>#REF!</v>
      </c>
      <c r="AE5" t="e">
        <f>AND(#REF!,"AAAAAHj7/R4=")</f>
        <v>#REF!</v>
      </c>
      <c r="AF5" t="e">
        <f>AND(#REF!,"AAAAAHj7/R8=")</f>
        <v>#REF!</v>
      </c>
      <c r="AG5" t="e">
        <f>AND(#REF!,"AAAAAHj7/SA=")</f>
        <v>#REF!</v>
      </c>
      <c r="AH5" t="e">
        <f>IF(#REF!,"AAAAAHj7/SE=",0)</f>
        <v>#REF!</v>
      </c>
      <c r="AI5" t="e">
        <f>AND(#REF!,"AAAAAHj7/SI=")</f>
        <v>#REF!</v>
      </c>
      <c r="AJ5" t="e">
        <f>AND(#REF!,"AAAAAHj7/SM=")</f>
        <v>#REF!</v>
      </c>
      <c r="AK5" t="e">
        <f>AND(#REF!,"AAAAAHj7/SQ=")</f>
        <v>#REF!</v>
      </c>
      <c r="AL5" t="e">
        <f>AND(#REF!,"AAAAAHj7/SU=")</f>
        <v>#REF!</v>
      </c>
      <c r="AM5" t="e">
        <f>AND(#REF!,"AAAAAHj7/SY=")</f>
        <v>#REF!</v>
      </c>
      <c r="AN5" t="e">
        <f>AND(#REF!,"AAAAAHj7/Sc=")</f>
        <v>#REF!</v>
      </c>
      <c r="AO5" t="e">
        <f>AND(#REF!,"AAAAAHj7/Sg=")</f>
        <v>#REF!</v>
      </c>
      <c r="AP5" t="e">
        <f>AND(#REF!,"AAAAAHj7/Sk=")</f>
        <v>#REF!</v>
      </c>
      <c r="AQ5" t="e">
        <f>AND(#REF!,"AAAAAHj7/So=")</f>
        <v>#REF!</v>
      </c>
      <c r="AR5" t="e">
        <f>AND(#REF!,"AAAAAHj7/Ss=")</f>
        <v>#REF!</v>
      </c>
      <c r="AS5" t="e">
        <f>AND(#REF!,"AAAAAHj7/Sw=")</f>
        <v>#REF!</v>
      </c>
      <c r="AT5" t="e">
        <f>AND(#REF!,"AAAAAHj7/S0=")</f>
        <v>#REF!</v>
      </c>
      <c r="AU5" t="e">
        <f>IF(#REF!,"AAAAAHj7/S4=",0)</f>
        <v>#REF!</v>
      </c>
      <c r="AV5" t="e">
        <f>AND(#REF!,"AAAAAHj7/S8=")</f>
        <v>#REF!</v>
      </c>
      <c r="AW5" t="e">
        <f>AND(#REF!,"AAAAAHj7/TA=")</f>
        <v>#REF!</v>
      </c>
      <c r="AX5" t="e">
        <f>AND(#REF!,"AAAAAHj7/TE=")</f>
        <v>#REF!</v>
      </c>
      <c r="AY5" t="e">
        <f>AND(#REF!,"AAAAAHj7/TI=")</f>
        <v>#REF!</v>
      </c>
      <c r="AZ5" t="e">
        <f>AND(#REF!,"AAAAAHj7/TM=")</f>
        <v>#REF!</v>
      </c>
      <c r="BA5" t="e">
        <f>AND(#REF!,"AAAAAHj7/TQ=")</f>
        <v>#REF!</v>
      </c>
      <c r="BB5" t="e">
        <f>AND(#REF!,"AAAAAHj7/TU=")</f>
        <v>#REF!</v>
      </c>
      <c r="BC5" t="e">
        <f>AND(#REF!,"AAAAAHj7/TY=")</f>
        <v>#REF!</v>
      </c>
      <c r="BD5" t="e">
        <f>AND(#REF!,"AAAAAHj7/Tc=")</f>
        <v>#REF!</v>
      </c>
      <c r="BE5" t="e">
        <f>AND(#REF!,"AAAAAHj7/Tg=")</f>
        <v>#REF!</v>
      </c>
      <c r="BF5" t="e">
        <f>AND(#REF!,"AAAAAHj7/Tk=")</f>
        <v>#REF!</v>
      </c>
      <c r="BG5" t="e">
        <f>AND(#REF!,"AAAAAHj7/To=")</f>
        <v>#REF!</v>
      </c>
      <c r="BH5" t="e">
        <f>IF(#REF!,"AAAAAHj7/Ts=",0)</f>
        <v>#REF!</v>
      </c>
      <c r="BI5" t="e">
        <f>AND(#REF!,"AAAAAHj7/Tw=")</f>
        <v>#REF!</v>
      </c>
      <c r="BJ5" t="e">
        <f>AND(#REF!,"AAAAAHj7/T0=")</f>
        <v>#REF!</v>
      </c>
      <c r="BK5" t="e">
        <f>AND(#REF!,"AAAAAHj7/T4=")</f>
        <v>#REF!</v>
      </c>
      <c r="BL5" t="e">
        <f>AND(#REF!,"AAAAAHj7/T8=")</f>
        <v>#REF!</v>
      </c>
      <c r="BM5" t="e">
        <f>AND(#REF!,"AAAAAHj7/UA=")</f>
        <v>#REF!</v>
      </c>
      <c r="BN5" t="e">
        <f>AND(#REF!,"AAAAAHj7/UE=")</f>
        <v>#REF!</v>
      </c>
      <c r="BO5" t="e">
        <f>AND(#REF!,"AAAAAHj7/UI=")</f>
        <v>#REF!</v>
      </c>
      <c r="BP5" t="e">
        <f>AND(#REF!,"AAAAAHj7/UM=")</f>
        <v>#REF!</v>
      </c>
      <c r="BQ5" t="e">
        <f>AND(#REF!,"AAAAAHj7/UQ=")</f>
        <v>#REF!</v>
      </c>
      <c r="BR5" t="e">
        <f>AND(#REF!,"AAAAAHj7/UU=")</f>
        <v>#REF!</v>
      </c>
      <c r="BS5" t="e">
        <f>AND(#REF!,"AAAAAHj7/UY=")</f>
        <v>#REF!</v>
      </c>
      <c r="BT5" t="e">
        <f>AND(#REF!,"AAAAAHj7/Uc=")</f>
        <v>#REF!</v>
      </c>
      <c r="BU5" t="e">
        <f>IF(#REF!,"AAAAAHj7/Ug=",0)</f>
        <v>#REF!</v>
      </c>
      <c r="BV5" t="e">
        <f>AND(#REF!,"AAAAAHj7/Uk=")</f>
        <v>#REF!</v>
      </c>
      <c r="BW5" t="e">
        <f>AND(#REF!,"AAAAAHj7/Uo=")</f>
        <v>#REF!</v>
      </c>
      <c r="BX5" t="e">
        <f>AND(#REF!,"AAAAAHj7/Us=")</f>
        <v>#REF!</v>
      </c>
      <c r="BY5" t="e">
        <f>AND(#REF!,"AAAAAHj7/Uw=")</f>
        <v>#REF!</v>
      </c>
      <c r="BZ5" t="e">
        <f>AND(#REF!,"AAAAAHj7/U0=")</f>
        <v>#REF!</v>
      </c>
      <c r="CA5" t="e">
        <f>AND(#REF!,"AAAAAHj7/U4=")</f>
        <v>#REF!</v>
      </c>
      <c r="CB5" t="e">
        <f>AND(#REF!,"AAAAAHj7/U8=")</f>
        <v>#REF!</v>
      </c>
      <c r="CC5" t="e">
        <f>AND(#REF!,"AAAAAHj7/VA=")</f>
        <v>#REF!</v>
      </c>
      <c r="CD5" t="e">
        <f>AND(#REF!,"AAAAAHj7/VE=")</f>
        <v>#REF!</v>
      </c>
      <c r="CE5" t="e">
        <f>AND(#REF!,"AAAAAHj7/VI=")</f>
        <v>#REF!</v>
      </c>
      <c r="CF5" t="e">
        <f>AND(#REF!,"AAAAAHj7/VM=")</f>
        <v>#REF!</v>
      </c>
      <c r="CG5" t="e">
        <f>AND(#REF!,"AAAAAHj7/VQ=")</f>
        <v>#REF!</v>
      </c>
      <c r="CH5" t="e">
        <f>IF(#REF!,"AAAAAHj7/VU=",0)</f>
        <v>#REF!</v>
      </c>
      <c r="CI5" t="e">
        <f>AND(#REF!,"AAAAAHj7/VY=")</f>
        <v>#REF!</v>
      </c>
      <c r="CJ5" t="e">
        <f>AND(#REF!,"AAAAAHj7/Vc=")</f>
        <v>#REF!</v>
      </c>
      <c r="CK5" t="e">
        <f>AND(#REF!,"AAAAAHj7/Vg=")</f>
        <v>#REF!</v>
      </c>
      <c r="CL5" t="e">
        <f>AND(#REF!,"AAAAAHj7/Vk=")</f>
        <v>#REF!</v>
      </c>
      <c r="CM5" t="e">
        <f>AND(#REF!,"AAAAAHj7/Vo=")</f>
        <v>#REF!</v>
      </c>
      <c r="CN5" t="e">
        <f>AND(#REF!,"AAAAAHj7/Vs=")</f>
        <v>#REF!</v>
      </c>
      <c r="CO5" t="e">
        <f>AND(#REF!,"AAAAAHj7/Vw=")</f>
        <v>#REF!</v>
      </c>
      <c r="CP5" t="e">
        <f>AND(#REF!,"AAAAAHj7/V0=")</f>
        <v>#REF!</v>
      </c>
      <c r="CQ5" t="e">
        <f>AND(#REF!,"AAAAAHj7/V4=")</f>
        <v>#REF!</v>
      </c>
      <c r="CR5" t="e">
        <f>AND(#REF!,"AAAAAHj7/V8=")</f>
        <v>#REF!</v>
      </c>
      <c r="CS5" t="e">
        <f>AND(#REF!,"AAAAAHj7/WA=")</f>
        <v>#REF!</v>
      </c>
      <c r="CT5" t="e">
        <f>AND(#REF!,"AAAAAHj7/WE=")</f>
        <v>#REF!</v>
      </c>
      <c r="CU5" t="e">
        <f>IF(#REF!,"AAAAAHj7/WI=",0)</f>
        <v>#REF!</v>
      </c>
      <c r="CV5" t="e">
        <f>AND(#REF!,"AAAAAHj7/WM=")</f>
        <v>#REF!</v>
      </c>
      <c r="CW5" t="e">
        <f>AND(#REF!,"AAAAAHj7/WQ=")</f>
        <v>#REF!</v>
      </c>
      <c r="CX5" t="e">
        <f>AND(#REF!,"AAAAAHj7/WU=")</f>
        <v>#REF!</v>
      </c>
      <c r="CY5" t="e">
        <f>AND(#REF!,"AAAAAHj7/WY=")</f>
        <v>#REF!</v>
      </c>
      <c r="CZ5" t="e">
        <f>AND(#REF!,"AAAAAHj7/Wc=")</f>
        <v>#REF!</v>
      </c>
      <c r="DA5" t="e">
        <f>AND(#REF!,"AAAAAHj7/Wg=")</f>
        <v>#REF!</v>
      </c>
      <c r="DB5" t="e">
        <f>AND(#REF!,"AAAAAHj7/Wk=")</f>
        <v>#REF!</v>
      </c>
      <c r="DC5" t="e">
        <f>AND(#REF!,"AAAAAHj7/Wo=")</f>
        <v>#REF!</v>
      </c>
      <c r="DD5" t="e">
        <f>AND(#REF!,"AAAAAHj7/Ws=")</f>
        <v>#REF!</v>
      </c>
      <c r="DE5" t="e">
        <f>AND(#REF!,"AAAAAHj7/Ww=")</f>
        <v>#REF!</v>
      </c>
      <c r="DF5" t="e">
        <f>AND(#REF!,"AAAAAHj7/W0=")</f>
        <v>#REF!</v>
      </c>
      <c r="DG5" t="e">
        <f>AND(#REF!,"AAAAAHj7/W4=")</f>
        <v>#REF!</v>
      </c>
      <c r="DH5" t="e">
        <f>IF(#REF!,"AAAAAHj7/W8=",0)</f>
        <v>#REF!</v>
      </c>
      <c r="DI5" t="e">
        <f>AND(#REF!,"AAAAAHj7/XA=")</f>
        <v>#REF!</v>
      </c>
      <c r="DJ5" t="e">
        <f>AND(#REF!,"AAAAAHj7/XE=")</f>
        <v>#REF!</v>
      </c>
      <c r="DK5" t="e">
        <f>AND(#REF!,"AAAAAHj7/XI=")</f>
        <v>#REF!</v>
      </c>
      <c r="DL5" t="e">
        <f>AND(#REF!,"AAAAAHj7/XM=")</f>
        <v>#REF!</v>
      </c>
      <c r="DM5" t="e">
        <f>AND(#REF!,"AAAAAHj7/XQ=")</f>
        <v>#REF!</v>
      </c>
      <c r="DN5" t="e">
        <f>AND(#REF!,"AAAAAHj7/XU=")</f>
        <v>#REF!</v>
      </c>
      <c r="DO5" t="e">
        <f>AND(#REF!,"AAAAAHj7/XY=")</f>
        <v>#REF!</v>
      </c>
      <c r="DP5" t="e">
        <f>AND(#REF!,"AAAAAHj7/Xc=")</f>
        <v>#REF!</v>
      </c>
      <c r="DQ5" t="e">
        <f>AND(#REF!,"AAAAAHj7/Xg=")</f>
        <v>#REF!</v>
      </c>
      <c r="DR5" t="e">
        <f>AND(#REF!,"AAAAAHj7/Xk=")</f>
        <v>#REF!</v>
      </c>
      <c r="DS5" t="e">
        <f>AND(#REF!,"AAAAAHj7/Xo=")</f>
        <v>#REF!</v>
      </c>
      <c r="DT5" t="e">
        <f>AND(#REF!,"AAAAAHj7/Xs=")</f>
        <v>#REF!</v>
      </c>
      <c r="DU5" t="e">
        <f>IF(#REF!,"AAAAAHj7/Xw=",0)</f>
        <v>#REF!</v>
      </c>
      <c r="DV5" t="e">
        <f>AND(#REF!,"AAAAAHj7/X0=")</f>
        <v>#REF!</v>
      </c>
      <c r="DW5" t="e">
        <f>AND(#REF!,"AAAAAHj7/X4=")</f>
        <v>#REF!</v>
      </c>
      <c r="DX5" t="e">
        <f>AND(#REF!,"AAAAAHj7/X8=")</f>
        <v>#REF!</v>
      </c>
      <c r="DY5" t="e">
        <f>AND(#REF!,"AAAAAHj7/YA=")</f>
        <v>#REF!</v>
      </c>
      <c r="DZ5" t="e">
        <f>AND(#REF!,"AAAAAHj7/YE=")</f>
        <v>#REF!</v>
      </c>
      <c r="EA5" t="e">
        <f>AND(#REF!,"AAAAAHj7/YI=")</f>
        <v>#REF!</v>
      </c>
      <c r="EB5" t="e">
        <f>AND(#REF!,"AAAAAHj7/YM=")</f>
        <v>#REF!</v>
      </c>
      <c r="EC5" t="e">
        <f>AND(#REF!,"AAAAAHj7/YQ=")</f>
        <v>#REF!</v>
      </c>
      <c r="ED5" t="e">
        <f>AND(#REF!,"AAAAAHj7/YU=")</f>
        <v>#REF!</v>
      </c>
      <c r="EE5" t="e">
        <f>AND(#REF!,"AAAAAHj7/YY=")</f>
        <v>#REF!</v>
      </c>
      <c r="EF5" t="e">
        <f>AND(#REF!,"AAAAAHj7/Yc=")</f>
        <v>#REF!</v>
      </c>
      <c r="EG5" t="e">
        <f>AND(#REF!,"AAAAAHj7/Yg=")</f>
        <v>#REF!</v>
      </c>
      <c r="EH5" t="e">
        <f>IF(#REF!,"AAAAAHj7/Yk=",0)</f>
        <v>#REF!</v>
      </c>
      <c r="EI5" t="e">
        <f>AND(#REF!,"AAAAAHj7/Yo=")</f>
        <v>#REF!</v>
      </c>
      <c r="EJ5" t="e">
        <f>AND(#REF!,"AAAAAHj7/Ys=")</f>
        <v>#REF!</v>
      </c>
      <c r="EK5" t="e">
        <f>AND(#REF!,"AAAAAHj7/Yw=")</f>
        <v>#REF!</v>
      </c>
      <c r="EL5" t="e">
        <f>AND(#REF!,"AAAAAHj7/Y0=")</f>
        <v>#REF!</v>
      </c>
      <c r="EM5" t="e">
        <f>AND(#REF!,"AAAAAHj7/Y4=")</f>
        <v>#REF!</v>
      </c>
      <c r="EN5" t="e">
        <f>AND(#REF!,"AAAAAHj7/Y8=")</f>
        <v>#REF!</v>
      </c>
      <c r="EO5" t="e">
        <f>AND(#REF!,"AAAAAHj7/ZA=")</f>
        <v>#REF!</v>
      </c>
      <c r="EP5" t="e">
        <f>AND(#REF!,"AAAAAHj7/ZE=")</f>
        <v>#REF!</v>
      </c>
      <c r="EQ5" t="e">
        <f>AND(#REF!,"AAAAAHj7/ZI=")</f>
        <v>#REF!</v>
      </c>
      <c r="ER5" t="e">
        <f>AND(#REF!,"AAAAAHj7/ZM=")</f>
        <v>#REF!</v>
      </c>
      <c r="ES5" t="e">
        <f>AND(#REF!,"AAAAAHj7/ZQ=")</f>
        <v>#REF!</v>
      </c>
      <c r="ET5" t="e">
        <f>AND(#REF!,"AAAAAHj7/ZU=")</f>
        <v>#REF!</v>
      </c>
      <c r="EU5" t="e">
        <f>IF(#REF!,"AAAAAHj7/ZY=",0)</f>
        <v>#REF!</v>
      </c>
      <c r="EV5" t="e">
        <f>AND(#REF!,"AAAAAHj7/Zc=")</f>
        <v>#REF!</v>
      </c>
      <c r="EW5" t="e">
        <f>AND(#REF!,"AAAAAHj7/Zg=")</f>
        <v>#REF!</v>
      </c>
      <c r="EX5" t="e">
        <f>AND(#REF!,"AAAAAHj7/Zk=")</f>
        <v>#REF!</v>
      </c>
      <c r="EY5" t="e">
        <f>AND(#REF!,"AAAAAHj7/Zo=")</f>
        <v>#REF!</v>
      </c>
      <c r="EZ5" t="e">
        <f>AND(#REF!,"AAAAAHj7/Zs=")</f>
        <v>#REF!</v>
      </c>
      <c r="FA5" t="e">
        <f>AND(#REF!,"AAAAAHj7/Zw=")</f>
        <v>#REF!</v>
      </c>
      <c r="FB5" t="e">
        <f>AND(#REF!,"AAAAAHj7/Z0=")</f>
        <v>#REF!</v>
      </c>
      <c r="FC5" t="e">
        <f>AND(#REF!,"AAAAAHj7/Z4=")</f>
        <v>#REF!</v>
      </c>
      <c r="FD5" t="e">
        <f>AND(#REF!,"AAAAAHj7/Z8=")</f>
        <v>#REF!</v>
      </c>
      <c r="FE5" t="e">
        <f>AND(#REF!,"AAAAAHj7/aA=")</f>
        <v>#REF!</v>
      </c>
      <c r="FF5" t="e">
        <f>AND(#REF!,"AAAAAHj7/aE=")</f>
        <v>#REF!</v>
      </c>
      <c r="FG5" t="e">
        <f>AND(#REF!,"AAAAAHj7/aI=")</f>
        <v>#REF!</v>
      </c>
      <c r="FH5" t="e">
        <f>IF(#REF!,"AAAAAHj7/aM=",0)</f>
        <v>#REF!</v>
      </c>
      <c r="FI5" t="e">
        <f>AND(#REF!,"AAAAAHj7/aQ=")</f>
        <v>#REF!</v>
      </c>
      <c r="FJ5" t="e">
        <f>AND(#REF!,"AAAAAHj7/aU=")</f>
        <v>#REF!</v>
      </c>
      <c r="FK5" t="e">
        <f>AND(#REF!,"AAAAAHj7/aY=")</f>
        <v>#REF!</v>
      </c>
      <c r="FL5" t="e">
        <f>AND(#REF!,"AAAAAHj7/ac=")</f>
        <v>#REF!</v>
      </c>
      <c r="FM5" t="e">
        <f>AND(#REF!,"AAAAAHj7/ag=")</f>
        <v>#REF!</v>
      </c>
      <c r="FN5" t="e">
        <f>AND(#REF!,"AAAAAHj7/ak=")</f>
        <v>#REF!</v>
      </c>
      <c r="FO5" t="e">
        <f>AND(#REF!,"AAAAAHj7/ao=")</f>
        <v>#REF!</v>
      </c>
      <c r="FP5" t="e">
        <f>AND(#REF!,"AAAAAHj7/as=")</f>
        <v>#REF!</v>
      </c>
      <c r="FQ5" t="e">
        <f>AND(#REF!,"AAAAAHj7/aw=")</f>
        <v>#REF!</v>
      </c>
      <c r="FR5" t="e">
        <f>AND(#REF!,"AAAAAHj7/a0=")</f>
        <v>#REF!</v>
      </c>
      <c r="FS5" t="e">
        <f>AND(#REF!,"AAAAAHj7/a4=")</f>
        <v>#REF!</v>
      </c>
      <c r="FT5" t="e">
        <f>AND(#REF!,"AAAAAHj7/a8=")</f>
        <v>#REF!</v>
      </c>
      <c r="FU5" t="e">
        <f>IF(#REF!,"AAAAAHj7/bA=",0)</f>
        <v>#REF!</v>
      </c>
      <c r="FV5" t="e">
        <f>AND(#REF!,"AAAAAHj7/bE=")</f>
        <v>#REF!</v>
      </c>
      <c r="FW5" t="e">
        <f>AND(#REF!,"AAAAAHj7/bI=")</f>
        <v>#REF!</v>
      </c>
      <c r="FX5" t="e">
        <f>AND(#REF!,"AAAAAHj7/bM=")</f>
        <v>#REF!</v>
      </c>
      <c r="FY5" t="e">
        <f>AND(#REF!,"AAAAAHj7/bQ=")</f>
        <v>#REF!</v>
      </c>
      <c r="FZ5" t="e">
        <f>AND(#REF!,"AAAAAHj7/bU=")</f>
        <v>#REF!</v>
      </c>
      <c r="GA5" t="e">
        <f>AND(#REF!,"AAAAAHj7/bY=")</f>
        <v>#REF!</v>
      </c>
      <c r="GB5" t="e">
        <f>AND(#REF!,"AAAAAHj7/bc=")</f>
        <v>#REF!</v>
      </c>
      <c r="GC5" t="e">
        <f>AND(#REF!,"AAAAAHj7/bg=")</f>
        <v>#REF!</v>
      </c>
      <c r="GD5" t="e">
        <f>AND(#REF!,"AAAAAHj7/bk=")</f>
        <v>#REF!</v>
      </c>
      <c r="GE5" t="e">
        <f>AND(#REF!,"AAAAAHj7/bo=")</f>
        <v>#REF!</v>
      </c>
      <c r="GF5" t="e">
        <f>AND(#REF!,"AAAAAHj7/bs=")</f>
        <v>#REF!</v>
      </c>
      <c r="GG5" t="e">
        <f>AND(#REF!,"AAAAAHj7/bw=")</f>
        <v>#REF!</v>
      </c>
      <c r="GH5" t="e">
        <f>IF(#REF!,"AAAAAHj7/b0=",0)</f>
        <v>#REF!</v>
      </c>
      <c r="GI5" t="e">
        <f>AND(#REF!,"AAAAAHj7/b4=")</f>
        <v>#REF!</v>
      </c>
      <c r="GJ5" t="e">
        <f>AND(#REF!,"AAAAAHj7/b8=")</f>
        <v>#REF!</v>
      </c>
      <c r="GK5" t="e">
        <f>AND(#REF!,"AAAAAHj7/cA=")</f>
        <v>#REF!</v>
      </c>
      <c r="GL5" t="e">
        <f>AND(#REF!,"AAAAAHj7/cE=")</f>
        <v>#REF!</v>
      </c>
      <c r="GM5" t="e">
        <f>AND(#REF!,"AAAAAHj7/cI=")</f>
        <v>#REF!</v>
      </c>
      <c r="GN5" t="e">
        <f>AND(#REF!,"AAAAAHj7/cM=")</f>
        <v>#REF!</v>
      </c>
      <c r="GO5" t="e">
        <f>AND(#REF!,"AAAAAHj7/cQ=")</f>
        <v>#REF!</v>
      </c>
      <c r="GP5" t="e">
        <f>AND(#REF!,"AAAAAHj7/cU=")</f>
        <v>#REF!</v>
      </c>
      <c r="GQ5" t="e">
        <f>AND(#REF!,"AAAAAHj7/cY=")</f>
        <v>#REF!</v>
      </c>
      <c r="GR5" t="e">
        <f>AND(#REF!,"AAAAAHj7/cc=")</f>
        <v>#REF!</v>
      </c>
      <c r="GS5" t="e">
        <f>AND(#REF!,"AAAAAHj7/cg=")</f>
        <v>#REF!</v>
      </c>
      <c r="GT5" t="e">
        <f>AND(#REF!,"AAAAAHj7/ck=")</f>
        <v>#REF!</v>
      </c>
      <c r="GU5" t="e">
        <f>IF(#REF!,"AAAAAHj7/co=",0)</f>
        <v>#REF!</v>
      </c>
      <c r="GV5" t="e">
        <f>AND(#REF!,"AAAAAHj7/cs=")</f>
        <v>#REF!</v>
      </c>
      <c r="GW5" t="e">
        <f>AND(#REF!,"AAAAAHj7/cw=")</f>
        <v>#REF!</v>
      </c>
      <c r="GX5" t="e">
        <f>AND(#REF!,"AAAAAHj7/c0=")</f>
        <v>#REF!</v>
      </c>
      <c r="GY5" t="e">
        <f>AND(#REF!,"AAAAAHj7/c4=")</f>
        <v>#REF!</v>
      </c>
      <c r="GZ5" t="e">
        <f>AND(#REF!,"AAAAAHj7/c8=")</f>
        <v>#REF!</v>
      </c>
      <c r="HA5" t="e">
        <f>AND(#REF!,"AAAAAHj7/dA=")</f>
        <v>#REF!</v>
      </c>
      <c r="HB5" t="e">
        <f>AND(#REF!,"AAAAAHj7/dE=")</f>
        <v>#REF!</v>
      </c>
      <c r="HC5" t="e">
        <f>AND(#REF!,"AAAAAHj7/dI=")</f>
        <v>#REF!</v>
      </c>
      <c r="HD5" t="e">
        <f>AND(#REF!,"AAAAAHj7/dM=")</f>
        <v>#REF!</v>
      </c>
      <c r="HE5" t="e">
        <f>AND(#REF!,"AAAAAHj7/dQ=")</f>
        <v>#REF!</v>
      </c>
      <c r="HF5" t="e">
        <f>AND(#REF!,"AAAAAHj7/dU=")</f>
        <v>#REF!</v>
      </c>
      <c r="HG5" t="e">
        <f>AND(#REF!,"AAAAAHj7/dY=")</f>
        <v>#REF!</v>
      </c>
      <c r="HH5" t="e">
        <f>IF(#REF!,"AAAAAHj7/dc=",0)</f>
        <v>#REF!</v>
      </c>
      <c r="HI5" t="e">
        <f>AND(#REF!,"AAAAAHj7/dg=")</f>
        <v>#REF!</v>
      </c>
      <c r="HJ5" t="e">
        <f>AND(#REF!,"AAAAAHj7/dk=")</f>
        <v>#REF!</v>
      </c>
      <c r="HK5" t="e">
        <f>AND(#REF!,"AAAAAHj7/do=")</f>
        <v>#REF!</v>
      </c>
      <c r="HL5" t="e">
        <f>AND(#REF!,"AAAAAHj7/ds=")</f>
        <v>#REF!</v>
      </c>
      <c r="HM5" t="e">
        <f>AND(#REF!,"AAAAAHj7/dw=")</f>
        <v>#REF!</v>
      </c>
      <c r="HN5" t="e">
        <f>AND(#REF!,"AAAAAHj7/d0=")</f>
        <v>#REF!</v>
      </c>
      <c r="HO5" t="e">
        <f>AND(#REF!,"AAAAAHj7/d4=")</f>
        <v>#REF!</v>
      </c>
      <c r="HP5" t="e">
        <f>AND(#REF!,"AAAAAHj7/d8=")</f>
        <v>#REF!</v>
      </c>
      <c r="HQ5" t="e">
        <f>AND(#REF!,"AAAAAHj7/eA=")</f>
        <v>#REF!</v>
      </c>
      <c r="HR5" t="e">
        <f>AND(#REF!,"AAAAAHj7/eE=")</f>
        <v>#REF!</v>
      </c>
      <c r="HS5" t="e">
        <f>AND(#REF!,"AAAAAHj7/eI=")</f>
        <v>#REF!</v>
      </c>
      <c r="HT5" t="e">
        <f>AND(#REF!,"AAAAAHj7/eM=")</f>
        <v>#REF!</v>
      </c>
      <c r="HU5" t="e">
        <f>IF(#REF!,"AAAAAHj7/eQ=",0)</f>
        <v>#REF!</v>
      </c>
      <c r="HV5" t="e">
        <f>AND(#REF!,"AAAAAHj7/eU=")</f>
        <v>#REF!</v>
      </c>
      <c r="HW5" t="e">
        <f>AND(#REF!,"AAAAAHj7/eY=")</f>
        <v>#REF!</v>
      </c>
      <c r="HX5" t="e">
        <f>AND(#REF!,"AAAAAHj7/ec=")</f>
        <v>#REF!</v>
      </c>
      <c r="HY5" t="e">
        <f>AND(#REF!,"AAAAAHj7/eg=")</f>
        <v>#REF!</v>
      </c>
      <c r="HZ5" t="e">
        <f>AND(#REF!,"AAAAAHj7/ek=")</f>
        <v>#REF!</v>
      </c>
      <c r="IA5" t="e">
        <f>AND(#REF!,"AAAAAHj7/eo=")</f>
        <v>#REF!</v>
      </c>
      <c r="IB5" t="e">
        <f>AND(#REF!,"AAAAAHj7/es=")</f>
        <v>#REF!</v>
      </c>
      <c r="IC5" t="e">
        <f>AND(#REF!,"AAAAAHj7/ew=")</f>
        <v>#REF!</v>
      </c>
      <c r="ID5" t="e">
        <f>AND(#REF!,"AAAAAHj7/e0=")</f>
        <v>#REF!</v>
      </c>
      <c r="IE5" t="e">
        <f>AND(#REF!,"AAAAAHj7/e4=")</f>
        <v>#REF!</v>
      </c>
      <c r="IF5" t="e">
        <f>AND(#REF!,"AAAAAHj7/e8=")</f>
        <v>#REF!</v>
      </c>
      <c r="IG5" t="e">
        <f>AND(#REF!,"AAAAAHj7/fA=")</f>
        <v>#REF!</v>
      </c>
      <c r="IH5" t="e">
        <f>IF(#REF!,"AAAAAHj7/fE=",0)</f>
        <v>#REF!</v>
      </c>
      <c r="II5" t="e">
        <f>AND(#REF!,"AAAAAHj7/fI=")</f>
        <v>#REF!</v>
      </c>
      <c r="IJ5" t="e">
        <f>AND(#REF!,"AAAAAHj7/fM=")</f>
        <v>#REF!</v>
      </c>
      <c r="IK5" t="e">
        <f>AND(#REF!,"AAAAAHj7/fQ=")</f>
        <v>#REF!</v>
      </c>
      <c r="IL5" t="e">
        <f>AND(#REF!,"AAAAAHj7/fU=")</f>
        <v>#REF!</v>
      </c>
      <c r="IM5" t="e">
        <f>AND(#REF!,"AAAAAHj7/fY=")</f>
        <v>#REF!</v>
      </c>
      <c r="IN5" t="e">
        <f>AND(#REF!,"AAAAAHj7/fc=")</f>
        <v>#REF!</v>
      </c>
      <c r="IO5" t="e">
        <f>AND(#REF!,"AAAAAHj7/fg=")</f>
        <v>#REF!</v>
      </c>
      <c r="IP5" t="e">
        <f>AND(#REF!,"AAAAAHj7/fk=")</f>
        <v>#REF!</v>
      </c>
      <c r="IQ5" t="e">
        <f>AND(#REF!,"AAAAAHj7/fo=")</f>
        <v>#REF!</v>
      </c>
      <c r="IR5" t="e">
        <f>AND(#REF!,"AAAAAHj7/fs=")</f>
        <v>#REF!</v>
      </c>
      <c r="IS5" t="e">
        <f>AND(#REF!,"AAAAAHj7/fw=")</f>
        <v>#REF!</v>
      </c>
      <c r="IT5" t="e">
        <f>AND(#REF!,"AAAAAHj7/f0=")</f>
        <v>#REF!</v>
      </c>
      <c r="IU5" t="e">
        <f>IF(#REF!,"AAAAAHj7/f4=",0)</f>
        <v>#REF!</v>
      </c>
      <c r="IV5" t="e">
        <f>AND(#REF!,"AAAAAHj7/f8=")</f>
        <v>#REF!</v>
      </c>
    </row>
    <row r="6" spans="1:256">
      <c r="A6" t="e">
        <f>AND(#REF!,"AAAAAH3elgA=")</f>
        <v>#REF!</v>
      </c>
      <c r="B6" t="e">
        <f>AND(#REF!,"AAAAAH3elgE=")</f>
        <v>#REF!</v>
      </c>
      <c r="C6" t="e">
        <f>AND(#REF!,"AAAAAH3elgI=")</f>
        <v>#REF!</v>
      </c>
      <c r="D6" t="e">
        <f>AND(#REF!,"AAAAAH3elgM=")</f>
        <v>#REF!</v>
      </c>
      <c r="E6" t="e">
        <f>AND(#REF!,"AAAAAH3elgQ=")</f>
        <v>#REF!</v>
      </c>
      <c r="F6" t="e">
        <f>AND(#REF!,"AAAAAH3elgU=")</f>
        <v>#REF!</v>
      </c>
      <c r="G6" t="e">
        <f>AND(#REF!,"AAAAAH3elgY=")</f>
        <v>#REF!</v>
      </c>
      <c r="H6" t="e">
        <f>AND(#REF!,"AAAAAH3elgc=")</f>
        <v>#REF!</v>
      </c>
      <c r="I6" t="e">
        <f>AND(#REF!,"AAAAAH3elgg=")</f>
        <v>#REF!</v>
      </c>
      <c r="J6" t="e">
        <f>AND(#REF!,"AAAAAH3elgk=")</f>
        <v>#REF!</v>
      </c>
      <c r="K6" t="e">
        <f>AND(#REF!,"AAAAAH3elgo=")</f>
        <v>#REF!</v>
      </c>
      <c r="L6" t="e">
        <f>IF(#REF!,"AAAAAH3elgs=",0)</f>
        <v>#REF!</v>
      </c>
      <c r="M6" t="e">
        <f>AND(#REF!,"AAAAAH3elgw=")</f>
        <v>#REF!</v>
      </c>
      <c r="N6" t="e">
        <f>AND(#REF!,"AAAAAH3elg0=")</f>
        <v>#REF!</v>
      </c>
      <c r="O6" t="e">
        <f>AND(#REF!,"AAAAAH3elg4=")</f>
        <v>#REF!</v>
      </c>
      <c r="P6" t="e">
        <f>AND(#REF!,"AAAAAH3elg8=")</f>
        <v>#REF!</v>
      </c>
      <c r="Q6" t="e">
        <f>AND(#REF!,"AAAAAH3elhA=")</f>
        <v>#REF!</v>
      </c>
      <c r="R6" t="e">
        <f>AND(#REF!,"AAAAAH3elhE=")</f>
        <v>#REF!</v>
      </c>
      <c r="S6" t="e">
        <f>AND(#REF!,"AAAAAH3elhI=")</f>
        <v>#REF!</v>
      </c>
      <c r="T6" t="e">
        <f>AND(#REF!,"AAAAAH3elhM=")</f>
        <v>#REF!</v>
      </c>
      <c r="U6" t="e">
        <f>AND(#REF!,"AAAAAH3elhQ=")</f>
        <v>#REF!</v>
      </c>
      <c r="V6" t="e">
        <f>AND(#REF!,"AAAAAH3elhU=")</f>
        <v>#REF!</v>
      </c>
      <c r="W6" t="e">
        <f>AND(#REF!,"AAAAAH3elhY=")</f>
        <v>#REF!</v>
      </c>
      <c r="X6" t="e">
        <f>AND(#REF!,"AAAAAH3elhc=")</f>
        <v>#REF!</v>
      </c>
      <c r="Y6" t="e">
        <f>IF(#REF!,"AAAAAH3elhg=",0)</f>
        <v>#REF!</v>
      </c>
      <c r="Z6" t="e">
        <f>AND(#REF!,"AAAAAH3elhk=")</f>
        <v>#REF!</v>
      </c>
      <c r="AA6" t="e">
        <f>AND(#REF!,"AAAAAH3elho=")</f>
        <v>#REF!</v>
      </c>
      <c r="AB6" t="e">
        <f>AND(#REF!,"AAAAAH3elhs=")</f>
        <v>#REF!</v>
      </c>
      <c r="AC6" t="e">
        <f>AND(#REF!,"AAAAAH3elhw=")</f>
        <v>#REF!</v>
      </c>
      <c r="AD6" t="e">
        <f>AND(#REF!,"AAAAAH3elh0=")</f>
        <v>#REF!</v>
      </c>
      <c r="AE6" t="e">
        <f>AND(#REF!,"AAAAAH3elh4=")</f>
        <v>#REF!</v>
      </c>
      <c r="AF6" t="e">
        <f>AND(#REF!,"AAAAAH3elh8=")</f>
        <v>#REF!</v>
      </c>
      <c r="AG6" t="e">
        <f>AND(#REF!,"AAAAAH3eliA=")</f>
        <v>#REF!</v>
      </c>
      <c r="AH6" t="e">
        <f>AND(#REF!,"AAAAAH3eliE=")</f>
        <v>#REF!</v>
      </c>
      <c r="AI6" t="e">
        <f>AND(#REF!,"AAAAAH3eliI=")</f>
        <v>#REF!</v>
      </c>
      <c r="AJ6" t="e">
        <f>AND(#REF!,"AAAAAH3eliM=")</f>
        <v>#REF!</v>
      </c>
      <c r="AK6" t="e">
        <f>AND(#REF!,"AAAAAH3eliQ=")</f>
        <v>#REF!</v>
      </c>
      <c r="AL6" t="e">
        <f>IF(#REF!,"AAAAAH3eliU=",0)</f>
        <v>#REF!</v>
      </c>
      <c r="AM6" t="e">
        <f>AND(#REF!,"AAAAAH3eliY=")</f>
        <v>#REF!</v>
      </c>
      <c r="AN6" t="e">
        <f>AND(#REF!,"AAAAAH3elic=")</f>
        <v>#REF!</v>
      </c>
      <c r="AO6" t="e">
        <f>AND(#REF!,"AAAAAH3elig=")</f>
        <v>#REF!</v>
      </c>
      <c r="AP6" t="e">
        <f>AND(#REF!,"AAAAAH3elik=")</f>
        <v>#REF!</v>
      </c>
      <c r="AQ6" t="e">
        <f>AND(#REF!,"AAAAAH3elio=")</f>
        <v>#REF!</v>
      </c>
      <c r="AR6" t="e">
        <f>AND(#REF!,"AAAAAH3elis=")</f>
        <v>#REF!</v>
      </c>
      <c r="AS6" t="e">
        <f>AND(#REF!,"AAAAAH3eliw=")</f>
        <v>#REF!</v>
      </c>
      <c r="AT6" t="e">
        <f>AND(#REF!,"AAAAAH3eli0=")</f>
        <v>#REF!</v>
      </c>
      <c r="AU6" t="e">
        <f>AND(#REF!,"AAAAAH3eli4=")</f>
        <v>#REF!</v>
      </c>
      <c r="AV6" t="e">
        <f>AND(#REF!,"AAAAAH3eli8=")</f>
        <v>#REF!</v>
      </c>
      <c r="AW6" t="e">
        <f>AND(#REF!,"AAAAAH3eljA=")</f>
        <v>#REF!</v>
      </c>
      <c r="AX6" t="e">
        <f>AND(#REF!,"AAAAAH3eljE=")</f>
        <v>#REF!</v>
      </c>
      <c r="AY6" t="e">
        <f>IF(#REF!,"AAAAAH3eljI=",0)</f>
        <v>#REF!</v>
      </c>
      <c r="AZ6" t="e">
        <f>AND(#REF!,"AAAAAH3eljM=")</f>
        <v>#REF!</v>
      </c>
      <c r="BA6" t="e">
        <f>AND(#REF!,"AAAAAH3eljQ=")</f>
        <v>#REF!</v>
      </c>
      <c r="BB6" t="e">
        <f>AND(#REF!,"AAAAAH3eljU=")</f>
        <v>#REF!</v>
      </c>
      <c r="BC6" t="e">
        <f>AND(#REF!,"AAAAAH3eljY=")</f>
        <v>#REF!</v>
      </c>
      <c r="BD6" t="e">
        <f>AND(#REF!,"AAAAAH3eljc=")</f>
        <v>#REF!</v>
      </c>
      <c r="BE6" t="e">
        <f>AND(#REF!,"AAAAAH3eljg=")</f>
        <v>#REF!</v>
      </c>
      <c r="BF6" t="e">
        <f>AND(#REF!,"AAAAAH3eljk=")</f>
        <v>#REF!</v>
      </c>
      <c r="BG6" t="e">
        <f>AND(#REF!,"AAAAAH3eljo=")</f>
        <v>#REF!</v>
      </c>
      <c r="BH6" t="e">
        <f>AND(#REF!,"AAAAAH3eljs=")</f>
        <v>#REF!</v>
      </c>
      <c r="BI6" t="e">
        <f>AND(#REF!,"AAAAAH3eljw=")</f>
        <v>#REF!</v>
      </c>
      <c r="BJ6" t="e">
        <f>AND(#REF!,"AAAAAH3elj0=")</f>
        <v>#REF!</v>
      </c>
      <c r="BK6" t="e">
        <f>AND(#REF!,"AAAAAH3elj4=")</f>
        <v>#REF!</v>
      </c>
      <c r="BL6" t="e">
        <f>IF(#REF!,"AAAAAH3elj8=",0)</f>
        <v>#REF!</v>
      </c>
      <c r="BM6" t="e">
        <f>AND(#REF!,"AAAAAH3elkA=")</f>
        <v>#REF!</v>
      </c>
      <c r="BN6" t="e">
        <f>AND(#REF!,"AAAAAH3elkE=")</f>
        <v>#REF!</v>
      </c>
      <c r="BO6" t="e">
        <f>AND(#REF!,"AAAAAH3elkI=")</f>
        <v>#REF!</v>
      </c>
      <c r="BP6" t="e">
        <f>AND(#REF!,"AAAAAH3elkM=")</f>
        <v>#REF!</v>
      </c>
      <c r="BQ6" t="e">
        <f>AND(#REF!,"AAAAAH3elkQ=")</f>
        <v>#REF!</v>
      </c>
      <c r="BR6" t="e">
        <f>AND(#REF!,"AAAAAH3elkU=")</f>
        <v>#REF!</v>
      </c>
      <c r="BS6" t="e">
        <f>AND(#REF!,"AAAAAH3elkY=")</f>
        <v>#REF!</v>
      </c>
      <c r="BT6" t="e">
        <f>AND(#REF!,"AAAAAH3elkc=")</f>
        <v>#REF!</v>
      </c>
      <c r="BU6" t="e">
        <f>AND(#REF!,"AAAAAH3elkg=")</f>
        <v>#REF!</v>
      </c>
      <c r="BV6" t="e">
        <f>AND(#REF!,"AAAAAH3elkk=")</f>
        <v>#REF!</v>
      </c>
      <c r="BW6" t="e">
        <f>AND(#REF!,"AAAAAH3elko=")</f>
        <v>#REF!</v>
      </c>
      <c r="BX6" t="e">
        <f>AND(#REF!,"AAAAAH3elks=")</f>
        <v>#REF!</v>
      </c>
      <c r="BY6" t="e">
        <f>IF(#REF!,"AAAAAH3elkw=",0)</f>
        <v>#REF!</v>
      </c>
      <c r="BZ6" t="e">
        <f>AND(#REF!,"AAAAAH3elk0=")</f>
        <v>#REF!</v>
      </c>
      <c r="CA6" t="e">
        <f>AND(#REF!,"AAAAAH3elk4=")</f>
        <v>#REF!</v>
      </c>
      <c r="CB6" t="e">
        <f>AND(#REF!,"AAAAAH3elk8=")</f>
        <v>#REF!</v>
      </c>
      <c r="CC6" t="e">
        <f>AND(#REF!,"AAAAAH3ellA=")</f>
        <v>#REF!</v>
      </c>
      <c r="CD6" t="e">
        <f>AND(#REF!,"AAAAAH3ellE=")</f>
        <v>#REF!</v>
      </c>
      <c r="CE6" t="e">
        <f>AND(#REF!,"AAAAAH3ellI=")</f>
        <v>#REF!</v>
      </c>
      <c r="CF6" t="e">
        <f>AND(#REF!,"AAAAAH3ellM=")</f>
        <v>#REF!</v>
      </c>
      <c r="CG6" t="e">
        <f>AND(#REF!,"AAAAAH3ellQ=")</f>
        <v>#REF!</v>
      </c>
      <c r="CH6" t="e">
        <f>AND(#REF!,"AAAAAH3ellU=")</f>
        <v>#REF!</v>
      </c>
      <c r="CI6" t="e">
        <f>AND(#REF!,"AAAAAH3ellY=")</f>
        <v>#REF!</v>
      </c>
      <c r="CJ6" t="e">
        <f>AND(#REF!,"AAAAAH3ellc=")</f>
        <v>#REF!</v>
      </c>
      <c r="CK6" t="e">
        <f>AND(#REF!,"AAAAAH3ellg=")</f>
        <v>#REF!</v>
      </c>
      <c r="CL6" t="e">
        <f>IF(#REF!,"AAAAAH3ellk=",0)</f>
        <v>#REF!</v>
      </c>
      <c r="CM6" t="e">
        <f>AND(#REF!,"AAAAAH3ello=")</f>
        <v>#REF!</v>
      </c>
      <c r="CN6" t="e">
        <f>AND(#REF!,"AAAAAH3ells=")</f>
        <v>#REF!</v>
      </c>
      <c r="CO6" t="e">
        <f>AND(#REF!,"AAAAAH3ellw=")</f>
        <v>#REF!</v>
      </c>
      <c r="CP6" t="e">
        <f>AND(#REF!,"AAAAAH3ell0=")</f>
        <v>#REF!</v>
      </c>
      <c r="CQ6" t="e">
        <f>AND(#REF!,"AAAAAH3ell4=")</f>
        <v>#REF!</v>
      </c>
      <c r="CR6" t="e">
        <f>AND(#REF!,"AAAAAH3ell8=")</f>
        <v>#REF!</v>
      </c>
      <c r="CS6" t="e">
        <f>AND(#REF!,"AAAAAH3elmA=")</f>
        <v>#REF!</v>
      </c>
      <c r="CT6" t="e">
        <f>AND(#REF!,"AAAAAH3elmE=")</f>
        <v>#REF!</v>
      </c>
      <c r="CU6" t="e">
        <f>AND(#REF!,"AAAAAH3elmI=")</f>
        <v>#REF!</v>
      </c>
      <c r="CV6" t="e">
        <f>AND(#REF!,"AAAAAH3elmM=")</f>
        <v>#REF!</v>
      </c>
      <c r="CW6" t="e">
        <f>AND(#REF!,"AAAAAH3elmQ=")</f>
        <v>#REF!</v>
      </c>
      <c r="CX6" t="e">
        <f>AND(#REF!,"AAAAAH3elmU=")</f>
        <v>#REF!</v>
      </c>
      <c r="CY6" t="e">
        <f>IF(#REF!,"AAAAAH3elmY=",0)</f>
        <v>#REF!</v>
      </c>
      <c r="CZ6" t="e">
        <f>AND(#REF!,"AAAAAH3elmc=")</f>
        <v>#REF!</v>
      </c>
      <c r="DA6" t="e">
        <f>AND(#REF!,"AAAAAH3elmg=")</f>
        <v>#REF!</v>
      </c>
      <c r="DB6" t="e">
        <f>AND(#REF!,"AAAAAH3elmk=")</f>
        <v>#REF!</v>
      </c>
      <c r="DC6" t="e">
        <f>AND(#REF!,"AAAAAH3elmo=")</f>
        <v>#REF!</v>
      </c>
      <c r="DD6" t="e">
        <f>AND(#REF!,"AAAAAH3elms=")</f>
        <v>#REF!</v>
      </c>
      <c r="DE6" t="e">
        <f>AND(#REF!,"AAAAAH3elmw=")</f>
        <v>#REF!</v>
      </c>
      <c r="DF6" t="e">
        <f>AND(#REF!,"AAAAAH3elm0=")</f>
        <v>#REF!</v>
      </c>
      <c r="DG6" t="e">
        <f>AND(#REF!,"AAAAAH3elm4=")</f>
        <v>#REF!</v>
      </c>
      <c r="DH6" t="e">
        <f>AND(#REF!,"AAAAAH3elm8=")</f>
        <v>#REF!</v>
      </c>
      <c r="DI6" t="e">
        <f>AND(#REF!,"AAAAAH3elnA=")</f>
        <v>#REF!</v>
      </c>
      <c r="DJ6" t="e">
        <f>AND(#REF!,"AAAAAH3elnE=")</f>
        <v>#REF!</v>
      </c>
      <c r="DK6" t="e">
        <f>AND(#REF!,"AAAAAH3elnI=")</f>
        <v>#REF!</v>
      </c>
      <c r="DL6" t="e">
        <f>IF(#REF!,"AAAAAH3elnM=",0)</f>
        <v>#REF!</v>
      </c>
      <c r="DM6" t="e">
        <f>AND(#REF!,"AAAAAH3elnQ=")</f>
        <v>#REF!</v>
      </c>
      <c r="DN6" t="e">
        <f>AND(#REF!,"AAAAAH3elnU=")</f>
        <v>#REF!</v>
      </c>
      <c r="DO6" t="e">
        <f>AND(#REF!,"AAAAAH3elnY=")</f>
        <v>#REF!</v>
      </c>
      <c r="DP6" t="e">
        <f>AND(#REF!,"AAAAAH3elnc=")</f>
        <v>#REF!</v>
      </c>
      <c r="DQ6" t="e">
        <f>AND(#REF!,"AAAAAH3elng=")</f>
        <v>#REF!</v>
      </c>
      <c r="DR6" t="e">
        <f>AND(#REF!,"AAAAAH3elnk=")</f>
        <v>#REF!</v>
      </c>
      <c r="DS6" t="e">
        <f>AND(#REF!,"AAAAAH3elno=")</f>
        <v>#REF!</v>
      </c>
      <c r="DT6" t="e">
        <f>AND(#REF!,"AAAAAH3elns=")</f>
        <v>#REF!</v>
      </c>
      <c r="DU6" t="e">
        <f>AND(#REF!,"AAAAAH3elnw=")</f>
        <v>#REF!</v>
      </c>
      <c r="DV6" t="e">
        <f>AND(#REF!,"AAAAAH3eln0=")</f>
        <v>#REF!</v>
      </c>
      <c r="DW6" t="e">
        <f>AND(#REF!,"AAAAAH3eln4=")</f>
        <v>#REF!</v>
      </c>
      <c r="DX6" t="e">
        <f>AND(#REF!,"AAAAAH3eln8=")</f>
        <v>#REF!</v>
      </c>
      <c r="DY6" t="e">
        <f>IF(#REF!,"AAAAAH3eloA=",0)</f>
        <v>#REF!</v>
      </c>
      <c r="DZ6" t="e">
        <f>AND(#REF!,"AAAAAH3eloE=")</f>
        <v>#REF!</v>
      </c>
      <c r="EA6" t="e">
        <f>AND(#REF!,"AAAAAH3eloI=")</f>
        <v>#REF!</v>
      </c>
      <c r="EB6" t="e">
        <f>AND(#REF!,"AAAAAH3eloM=")</f>
        <v>#REF!</v>
      </c>
      <c r="EC6" t="e">
        <f>AND(#REF!,"AAAAAH3eloQ=")</f>
        <v>#REF!</v>
      </c>
      <c r="ED6" t="e">
        <f>AND(#REF!,"AAAAAH3eloU=")</f>
        <v>#REF!</v>
      </c>
      <c r="EE6" t="e">
        <f>AND(#REF!,"AAAAAH3eloY=")</f>
        <v>#REF!</v>
      </c>
      <c r="EF6" t="e">
        <f>AND(#REF!,"AAAAAH3eloc=")</f>
        <v>#REF!</v>
      </c>
      <c r="EG6" t="e">
        <f>AND(#REF!,"AAAAAH3elog=")</f>
        <v>#REF!</v>
      </c>
      <c r="EH6" t="e">
        <f>AND(#REF!,"AAAAAH3elok=")</f>
        <v>#REF!</v>
      </c>
      <c r="EI6" t="e">
        <f>AND(#REF!,"AAAAAH3eloo=")</f>
        <v>#REF!</v>
      </c>
      <c r="EJ6" t="e">
        <f>AND(#REF!,"AAAAAH3elos=")</f>
        <v>#REF!</v>
      </c>
      <c r="EK6" t="e">
        <f>AND(#REF!,"AAAAAH3elow=")</f>
        <v>#REF!</v>
      </c>
      <c r="EL6" t="e">
        <f>IF(#REF!,"AAAAAH3elo0=",0)</f>
        <v>#REF!</v>
      </c>
      <c r="EM6" t="e">
        <f>AND(#REF!,"AAAAAH3elo4=")</f>
        <v>#REF!</v>
      </c>
      <c r="EN6" t="e">
        <f>AND(#REF!,"AAAAAH3elo8=")</f>
        <v>#REF!</v>
      </c>
      <c r="EO6" t="e">
        <f>AND(#REF!,"AAAAAH3elpA=")</f>
        <v>#REF!</v>
      </c>
      <c r="EP6" t="e">
        <f>AND(#REF!,"AAAAAH3elpE=")</f>
        <v>#REF!</v>
      </c>
      <c r="EQ6" t="e">
        <f>AND(#REF!,"AAAAAH3elpI=")</f>
        <v>#REF!</v>
      </c>
      <c r="ER6" t="e">
        <f>AND(#REF!,"AAAAAH3elpM=")</f>
        <v>#REF!</v>
      </c>
      <c r="ES6" t="e">
        <f>AND(#REF!,"AAAAAH3elpQ=")</f>
        <v>#REF!</v>
      </c>
      <c r="ET6" t="e">
        <f>AND(#REF!,"AAAAAH3elpU=")</f>
        <v>#REF!</v>
      </c>
      <c r="EU6" t="e">
        <f>AND(#REF!,"AAAAAH3elpY=")</f>
        <v>#REF!</v>
      </c>
      <c r="EV6" t="e">
        <f>AND(#REF!,"AAAAAH3elpc=")</f>
        <v>#REF!</v>
      </c>
      <c r="EW6" t="e">
        <f>AND(#REF!,"AAAAAH3elpg=")</f>
        <v>#REF!</v>
      </c>
      <c r="EX6" t="e">
        <f>AND(#REF!,"AAAAAH3elpk=")</f>
        <v>#REF!</v>
      </c>
      <c r="EY6" t="e">
        <f>IF(#REF!,"AAAAAH3elpo=",0)</f>
        <v>#REF!</v>
      </c>
      <c r="EZ6" t="e">
        <f>AND(#REF!,"AAAAAH3elps=")</f>
        <v>#REF!</v>
      </c>
      <c r="FA6" t="e">
        <f>AND(#REF!,"AAAAAH3elpw=")</f>
        <v>#REF!</v>
      </c>
      <c r="FB6" t="e">
        <f>AND(#REF!,"AAAAAH3elp0=")</f>
        <v>#REF!</v>
      </c>
      <c r="FC6" t="e">
        <f>AND(#REF!,"AAAAAH3elp4=")</f>
        <v>#REF!</v>
      </c>
      <c r="FD6" t="e">
        <f>AND(#REF!,"AAAAAH3elp8=")</f>
        <v>#REF!</v>
      </c>
      <c r="FE6" t="e">
        <f>AND(#REF!,"AAAAAH3elqA=")</f>
        <v>#REF!</v>
      </c>
      <c r="FF6" t="e">
        <f>AND(#REF!,"AAAAAH3elqE=")</f>
        <v>#REF!</v>
      </c>
      <c r="FG6" t="e">
        <f>AND(#REF!,"AAAAAH3elqI=")</f>
        <v>#REF!</v>
      </c>
      <c r="FH6" t="e">
        <f>AND(#REF!,"AAAAAH3elqM=")</f>
        <v>#REF!</v>
      </c>
      <c r="FI6" t="e">
        <f>AND(#REF!,"AAAAAH3elqQ=")</f>
        <v>#REF!</v>
      </c>
      <c r="FJ6" t="e">
        <f>AND(#REF!,"AAAAAH3elqU=")</f>
        <v>#REF!</v>
      </c>
      <c r="FK6" t="e">
        <f>AND(#REF!,"AAAAAH3elqY=")</f>
        <v>#REF!</v>
      </c>
      <c r="FL6" t="e">
        <f>IF(#REF!,"AAAAAH3elqc=",0)</f>
        <v>#REF!</v>
      </c>
      <c r="FM6" t="e">
        <f>AND(#REF!,"AAAAAH3elqg=")</f>
        <v>#REF!</v>
      </c>
      <c r="FN6" t="e">
        <f>AND(#REF!,"AAAAAH3elqk=")</f>
        <v>#REF!</v>
      </c>
      <c r="FO6" t="e">
        <f>AND(#REF!,"AAAAAH3elqo=")</f>
        <v>#REF!</v>
      </c>
      <c r="FP6" t="e">
        <f>AND(#REF!,"AAAAAH3elqs=")</f>
        <v>#REF!</v>
      </c>
      <c r="FQ6" t="e">
        <f>AND(#REF!,"AAAAAH3elqw=")</f>
        <v>#REF!</v>
      </c>
      <c r="FR6" t="e">
        <f>AND(#REF!,"AAAAAH3elq0=")</f>
        <v>#REF!</v>
      </c>
      <c r="FS6" t="e">
        <f>AND(#REF!,"AAAAAH3elq4=")</f>
        <v>#REF!</v>
      </c>
      <c r="FT6" t="e">
        <f>AND(#REF!,"AAAAAH3elq8=")</f>
        <v>#REF!</v>
      </c>
      <c r="FU6" t="e">
        <f>AND(#REF!,"AAAAAH3elrA=")</f>
        <v>#REF!</v>
      </c>
      <c r="FV6" t="e">
        <f>AND(#REF!,"AAAAAH3elrE=")</f>
        <v>#REF!</v>
      </c>
      <c r="FW6" t="e">
        <f>AND(#REF!,"AAAAAH3elrI=")</f>
        <v>#REF!</v>
      </c>
      <c r="FX6" t="e">
        <f>AND(#REF!,"AAAAAH3elrM=")</f>
        <v>#REF!</v>
      </c>
      <c r="FY6" t="e">
        <f>IF(#REF!,"AAAAAH3elrQ=",0)</f>
        <v>#REF!</v>
      </c>
      <c r="FZ6" t="e">
        <f>AND(#REF!,"AAAAAH3elrU=")</f>
        <v>#REF!</v>
      </c>
      <c r="GA6" t="e">
        <f>AND(#REF!,"AAAAAH3elrY=")</f>
        <v>#REF!</v>
      </c>
      <c r="GB6" t="e">
        <f>AND(#REF!,"AAAAAH3elrc=")</f>
        <v>#REF!</v>
      </c>
      <c r="GC6" t="e">
        <f>AND(#REF!,"AAAAAH3elrg=")</f>
        <v>#REF!</v>
      </c>
      <c r="GD6" t="e">
        <f>AND(#REF!,"AAAAAH3elrk=")</f>
        <v>#REF!</v>
      </c>
      <c r="GE6" t="e">
        <f>AND(#REF!,"AAAAAH3elro=")</f>
        <v>#REF!</v>
      </c>
      <c r="GF6" t="e">
        <f>AND(#REF!,"AAAAAH3elrs=")</f>
        <v>#REF!</v>
      </c>
      <c r="GG6" t="e">
        <f>AND(#REF!,"AAAAAH3elrw=")</f>
        <v>#REF!</v>
      </c>
      <c r="GH6" t="e">
        <f>AND(#REF!,"AAAAAH3elr0=")</f>
        <v>#REF!</v>
      </c>
      <c r="GI6" t="e">
        <f>AND(#REF!,"AAAAAH3elr4=")</f>
        <v>#REF!</v>
      </c>
      <c r="GJ6" t="e">
        <f>AND(#REF!,"AAAAAH3elr8=")</f>
        <v>#REF!</v>
      </c>
      <c r="GK6" t="e">
        <f>AND(#REF!,"AAAAAH3elsA=")</f>
        <v>#REF!</v>
      </c>
      <c r="GL6" t="e">
        <f>IF(#REF!,"AAAAAH3elsE=",0)</f>
        <v>#REF!</v>
      </c>
      <c r="GM6" t="e">
        <f>AND(#REF!,"AAAAAH3elsI=")</f>
        <v>#REF!</v>
      </c>
      <c r="GN6" t="e">
        <f>AND(#REF!,"AAAAAH3elsM=")</f>
        <v>#REF!</v>
      </c>
      <c r="GO6" t="e">
        <f>AND(#REF!,"AAAAAH3elsQ=")</f>
        <v>#REF!</v>
      </c>
      <c r="GP6" t="e">
        <f>AND(#REF!,"AAAAAH3elsU=")</f>
        <v>#REF!</v>
      </c>
      <c r="GQ6" t="e">
        <f>AND(#REF!,"AAAAAH3elsY=")</f>
        <v>#REF!</v>
      </c>
      <c r="GR6" t="e">
        <f>AND(#REF!,"AAAAAH3elsc=")</f>
        <v>#REF!</v>
      </c>
      <c r="GS6" t="e">
        <f>AND(#REF!,"AAAAAH3elsg=")</f>
        <v>#REF!</v>
      </c>
      <c r="GT6" t="e">
        <f>AND(#REF!,"AAAAAH3elsk=")</f>
        <v>#REF!</v>
      </c>
      <c r="GU6" t="e">
        <f>AND(#REF!,"AAAAAH3elso=")</f>
        <v>#REF!</v>
      </c>
      <c r="GV6" t="e">
        <f>AND(#REF!,"AAAAAH3elss=")</f>
        <v>#REF!</v>
      </c>
      <c r="GW6" t="e">
        <f>AND(#REF!,"AAAAAH3elsw=")</f>
        <v>#REF!</v>
      </c>
      <c r="GX6" t="e">
        <f>AND(#REF!,"AAAAAH3els0=")</f>
        <v>#REF!</v>
      </c>
      <c r="GY6" t="e">
        <f>IF(#REF!,"AAAAAH3els4=",0)</f>
        <v>#REF!</v>
      </c>
      <c r="GZ6" t="e">
        <f>AND(#REF!,"AAAAAH3els8=")</f>
        <v>#REF!</v>
      </c>
      <c r="HA6" t="e">
        <f>AND(#REF!,"AAAAAH3eltA=")</f>
        <v>#REF!</v>
      </c>
      <c r="HB6" t="e">
        <f>AND(#REF!,"AAAAAH3eltE=")</f>
        <v>#REF!</v>
      </c>
      <c r="HC6" t="e">
        <f>AND(#REF!,"AAAAAH3eltI=")</f>
        <v>#REF!</v>
      </c>
      <c r="HD6" t="e">
        <f>AND(#REF!,"AAAAAH3eltM=")</f>
        <v>#REF!</v>
      </c>
      <c r="HE6" t="e">
        <f>AND(#REF!,"AAAAAH3eltQ=")</f>
        <v>#REF!</v>
      </c>
      <c r="HF6" t="e">
        <f>AND(#REF!,"AAAAAH3eltU=")</f>
        <v>#REF!</v>
      </c>
      <c r="HG6" t="e">
        <f>AND(#REF!,"AAAAAH3eltY=")</f>
        <v>#REF!</v>
      </c>
      <c r="HH6" t="e">
        <f>AND(#REF!,"AAAAAH3eltc=")</f>
        <v>#REF!</v>
      </c>
      <c r="HI6" t="e">
        <f>AND(#REF!,"AAAAAH3eltg=")</f>
        <v>#REF!</v>
      </c>
      <c r="HJ6" t="e">
        <f>AND(#REF!,"AAAAAH3eltk=")</f>
        <v>#REF!</v>
      </c>
      <c r="HK6" t="e">
        <f>AND(#REF!,"AAAAAH3elto=")</f>
        <v>#REF!</v>
      </c>
      <c r="HL6" t="e">
        <f>IF(#REF!,"AAAAAH3elts=",0)</f>
        <v>#REF!</v>
      </c>
      <c r="HM6" t="e">
        <f>AND(#REF!,"AAAAAH3eltw=")</f>
        <v>#REF!</v>
      </c>
      <c r="HN6" t="e">
        <f>AND(#REF!,"AAAAAH3elt0=")</f>
        <v>#REF!</v>
      </c>
      <c r="HO6" t="e">
        <f>AND(#REF!,"AAAAAH3elt4=")</f>
        <v>#REF!</v>
      </c>
      <c r="HP6" t="e">
        <f>AND(#REF!,"AAAAAH3elt8=")</f>
        <v>#REF!</v>
      </c>
      <c r="HQ6" t="e">
        <f>AND(#REF!,"AAAAAH3eluA=")</f>
        <v>#REF!</v>
      </c>
      <c r="HR6" t="e">
        <f>AND(#REF!,"AAAAAH3eluE=")</f>
        <v>#REF!</v>
      </c>
      <c r="HS6" t="e">
        <f>AND(#REF!,"AAAAAH3eluI=")</f>
        <v>#REF!</v>
      </c>
      <c r="HT6" t="e">
        <f>AND(#REF!,"AAAAAH3eluM=")</f>
        <v>#REF!</v>
      </c>
      <c r="HU6" t="e">
        <f>AND(#REF!,"AAAAAH3eluQ=")</f>
        <v>#REF!</v>
      </c>
      <c r="HV6" t="e">
        <f>AND(#REF!,"AAAAAH3eluU=")</f>
        <v>#REF!</v>
      </c>
      <c r="HW6" t="e">
        <f>AND(#REF!,"AAAAAH3eluY=")</f>
        <v>#REF!</v>
      </c>
      <c r="HX6" t="e">
        <f>AND(#REF!,"AAAAAH3eluc=")</f>
        <v>#REF!</v>
      </c>
      <c r="HY6" t="e">
        <f>IF(#REF!,"AAAAAH3elug=",0)</f>
        <v>#REF!</v>
      </c>
      <c r="HZ6" t="e">
        <f>AND(#REF!,"AAAAAH3eluk=")</f>
        <v>#REF!</v>
      </c>
      <c r="IA6" t="e">
        <f>AND(#REF!,"AAAAAH3eluo=")</f>
        <v>#REF!</v>
      </c>
      <c r="IB6" t="e">
        <f>AND(#REF!,"AAAAAH3elus=")</f>
        <v>#REF!</v>
      </c>
      <c r="IC6" t="e">
        <f>AND(#REF!,"AAAAAH3eluw=")</f>
        <v>#REF!</v>
      </c>
      <c r="ID6" t="e">
        <f>AND(#REF!,"AAAAAH3elu0=")</f>
        <v>#REF!</v>
      </c>
      <c r="IE6" t="e">
        <f>AND(#REF!,"AAAAAH3elu4=")</f>
        <v>#REF!</v>
      </c>
      <c r="IF6" t="e">
        <f>AND(#REF!,"AAAAAH3elu8=")</f>
        <v>#REF!</v>
      </c>
      <c r="IG6" t="e">
        <f>AND(#REF!,"AAAAAH3elvA=")</f>
        <v>#REF!</v>
      </c>
      <c r="IH6" t="e">
        <f>AND(#REF!,"AAAAAH3elvE=")</f>
        <v>#REF!</v>
      </c>
      <c r="II6" t="e">
        <f>AND(#REF!,"AAAAAH3elvI=")</f>
        <v>#REF!</v>
      </c>
      <c r="IJ6" t="e">
        <f>AND(#REF!,"AAAAAH3elvM=")</f>
        <v>#REF!</v>
      </c>
      <c r="IK6" t="e">
        <f>AND(#REF!,"AAAAAH3elvQ=")</f>
        <v>#REF!</v>
      </c>
      <c r="IL6" t="e">
        <f>IF(#REF!,"AAAAAH3elvU=",0)</f>
        <v>#REF!</v>
      </c>
      <c r="IM6" t="e">
        <f>AND(#REF!,"AAAAAH3elvY=")</f>
        <v>#REF!</v>
      </c>
      <c r="IN6" t="e">
        <f>AND(#REF!,"AAAAAH3elvc=")</f>
        <v>#REF!</v>
      </c>
      <c r="IO6" t="e">
        <f>AND(#REF!,"AAAAAH3elvg=")</f>
        <v>#REF!</v>
      </c>
      <c r="IP6" t="e">
        <f>AND(#REF!,"AAAAAH3elvk=")</f>
        <v>#REF!</v>
      </c>
      <c r="IQ6" t="e">
        <f>AND(#REF!,"AAAAAH3elvo=")</f>
        <v>#REF!</v>
      </c>
      <c r="IR6" t="e">
        <f>AND(#REF!,"AAAAAH3elvs=")</f>
        <v>#REF!</v>
      </c>
      <c r="IS6" t="e">
        <f>AND(#REF!,"AAAAAH3elvw=")</f>
        <v>#REF!</v>
      </c>
      <c r="IT6" t="e">
        <f>AND(#REF!,"AAAAAH3elv0=")</f>
        <v>#REF!</v>
      </c>
      <c r="IU6" t="e">
        <f>AND(#REF!,"AAAAAH3elv4=")</f>
        <v>#REF!</v>
      </c>
      <c r="IV6" t="e">
        <f>AND(#REF!,"AAAAAH3elv8=")</f>
        <v>#REF!</v>
      </c>
    </row>
    <row r="7" spans="1:256">
      <c r="A7" t="e">
        <f>AND(#REF!,"AAAAAF9pnQA=")</f>
        <v>#REF!</v>
      </c>
      <c r="B7" t="e">
        <f>AND(#REF!,"AAAAAF9pnQE=")</f>
        <v>#REF!</v>
      </c>
      <c r="C7" t="e">
        <f>IF(#REF!,"AAAAAF9pnQI=",0)</f>
        <v>#REF!</v>
      </c>
      <c r="D7" t="e">
        <f>AND(#REF!,"AAAAAF9pnQM=")</f>
        <v>#REF!</v>
      </c>
      <c r="E7" t="e">
        <f>AND(#REF!,"AAAAAF9pnQQ=")</f>
        <v>#REF!</v>
      </c>
      <c r="F7" t="e">
        <f>AND(#REF!,"AAAAAF9pnQU=")</f>
        <v>#REF!</v>
      </c>
      <c r="G7" t="e">
        <f>AND(#REF!,"AAAAAF9pnQY=")</f>
        <v>#REF!</v>
      </c>
      <c r="H7" t="e">
        <f>AND(#REF!,"AAAAAF9pnQc=")</f>
        <v>#REF!</v>
      </c>
      <c r="I7" t="e">
        <f>AND(#REF!,"AAAAAF9pnQg=")</f>
        <v>#REF!</v>
      </c>
      <c r="J7" t="e">
        <f>AND(#REF!,"AAAAAF9pnQk=")</f>
        <v>#REF!</v>
      </c>
      <c r="K7" t="e">
        <f>AND(#REF!,"AAAAAF9pnQo=")</f>
        <v>#REF!</v>
      </c>
      <c r="L7" t="e">
        <f>AND(#REF!,"AAAAAF9pnQs=")</f>
        <v>#REF!</v>
      </c>
      <c r="M7" t="e">
        <f>AND(#REF!,"AAAAAF9pnQw=")</f>
        <v>#REF!</v>
      </c>
      <c r="N7" t="e">
        <f>AND(#REF!,"AAAAAF9pnQ0=")</f>
        <v>#REF!</v>
      </c>
      <c r="O7" t="e">
        <f>AND(#REF!,"AAAAAF9pnQ4=")</f>
        <v>#REF!</v>
      </c>
      <c r="P7" t="e">
        <f>IF(#REF!,"AAAAAF9pnQ8=",0)</f>
        <v>#REF!</v>
      </c>
      <c r="Q7" t="e">
        <f>AND(#REF!,"AAAAAF9pnRA=")</f>
        <v>#REF!</v>
      </c>
      <c r="R7" t="e">
        <f>AND(#REF!,"AAAAAF9pnRE=")</f>
        <v>#REF!</v>
      </c>
      <c r="S7" t="e">
        <f>AND(#REF!,"AAAAAF9pnRI=")</f>
        <v>#REF!</v>
      </c>
      <c r="T7" t="e">
        <f>AND(#REF!,"AAAAAF9pnRM=")</f>
        <v>#REF!</v>
      </c>
      <c r="U7" t="e">
        <f>AND(#REF!,"AAAAAF9pnRQ=")</f>
        <v>#REF!</v>
      </c>
      <c r="V7" t="e">
        <f>AND(#REF!,"AAAAAF9pnRU=")</f>
        <v>#REF!</v>
      </c>
      <c r="W7" t="e">
        <f>AND(#REF!,"AAAAAF9pnRY=")</f>
        <v>#REF!</v>
      </c>
      <c r="X7" t="e">
        <f>AND(#REF!,"AAAAAF9pnRc=")</f>
        <v>#REF!</v>
      </c>
      <c r="Y7" t="e">
        <f>AND(#REF!,"AAAAAF9pnRg=")</f>
        <v>#REF!</v>
      </c>
      <c r="Z7" t="e">
        <f>AND(#REF!,"AAAAAF9pnRk=")</f>
        <v>#REF!</v>
      </c>
      <c r="AA7" t="e">
        <f>AND(#REF!,"AAAAAF9pnRo=")</f>
        <v>#REF!</v>
      </c>
      <c r="AB7" t="e">
        <f>AND(#REF!,"AAAAAF9pnRs=")</f>
        <v>#REF!</v>
      </c>
      <c r="AC7" t="e">
        <f>IF(#REF!,"AAAAAF9pnRw=",0)</f>
        <v>#REF!</v>
      </c>
      <c r="AD7" t="e">
        <f>AND(#REF!,"AAAAAF9pnR0=")</f>
        <v>#REF!</v>
      </c>
      <c r="AE7" t="e">
        <f>AND(#REF!,"AAAAAF9pnR4=")</f>
        <v>#REF!</v>
      </c>
      <c r="AF7" t="e">
        <f>AND(#REF!,"AAAAAF9pnR8=")</f>
        <v>#REF!</v>
      </c>
      <c r="AG7" t="e">
        <f>AND(#REF!,"AAAAAF9pnSA=")</f>
        <v>#REF!</v>
      </c>
      <c r="AH7" t="e">
        <f>AND(#REF!,"AAAAAF9pnSE=")</f>
        <v>#REF!</v>
      </c>
      <c r="AI7" t="e">
        <f>AND(#REF!,"AAAAAF9pnSI=")</f>
        <v>#REF!</v>
      </c>
      <c r="AJ7" t="e">
        <f>AND(#REF!,"AAAAAF9pnSM=")</f>
        <v>#REF!</v>
      </c>
      <c r="AK7" t="e">
        <f>AND(#REF!,"AAAAAF9pnSQ=")</f>
        <v>#REF!</v>
      </c>
      <c r="AL7" t="e">
        <f>AND(#REF!,"AAAAAF9pnSU=")</f>
        <v>#REF!</v>
      </c>
      <c r="AM7" t="e">
        <f>AND(#REF!,"AAAAAF9pnSY=")</f>
        <v>#REF!</v>
      </c>
      <c r="AN7" t="e">
        <f>AND(#REF!,"AAAAAF9pnSc=")</f>
        <v>#REF!</v>
      </c>
      <c r="AO7" t="e">
        <f>AND(#REF!,"AAAAAF9pnSg=")</f>
        <v>#REF!</v>
      </c>
      <c r="AP7" t="e">
        <f>IF(#REF!,"AAAAAF9pnSk=",0)</f>
        <v>#REF!</v>
      </c>
      <c r="AQ7" t="e">
        <f>AND(#REF!,"AAAAAF9pnSo=")</f>
        <v>#REF!</v>
      </c>
      <c r="AR7" t="e">
        <f>AND(#REF!,"AAAAAF9pnSs=")</f>
        <v>#REF!</v>
      </c>
      <c r="AS7" t="e">
        <f>AND(#REF!,"AAAAAF9pnSw=")</f>
        <v>#REF!</v>
      </c>
      <c r="AT7" t="e">
        <f>AND(#REF!,"AAAAAF9pnS0=")</f>
        <v>#REF!</v>
      </c>
      <c r="AU7" t="e">
        <f>AND(#REF!,"AAAAAF9pnS4=")</f>
        <v>#REF!</v>
      </c>
      <c r="AV7" t="e">
        <f>AND(#REF!,"AAAAAF9pnS8=")</f>
        <v>#REF!</v>
      </c>
      <c r="AW7" t="e">
        <f>AND(#REF!,"AAAAAF9pnTA=")</f>
        <v>#REF!</v>
      </c>
      <c r="AX7" t="e">
        <f>AND(#REF!,"AAAAAF9pnTE=")</f>
        <v>#REF!</v>
      </c>
      <c r="AY7" t="e">
        <f>AND(#REF!,"AAAAAF9pnTI=")</f>
        <v>#REF!</v>
      </c>
      <c r="AZ7" t="e">
        <f>AND(#REF!,"AAAAAF9pnTM=")</f>
        <v>#REF!</v>
      </c>
      <c r="BA7" t="e">
        <f>AND(#REF!,"AAAAAF9pnTQ=")</f>
        <v>#REF!</v>
      </c>
      <c r="BB7" t="e">
        <f>AND(#REF!,"AAAAAF9pnTU=")</f>
        <v>#REF!</v>
      </c>
      <c r="BC7" t="e">
        <f>IF(#REF!,"AAAAAF9pnTY=",0)</f>
        <v>#REF!</v>
      </c>
      <c r="BD7" t="e">
        <f>AND(#REF!,"AAAAAF9pnTc=")</f>
        <v>#REF!</v>
      </c>
      <c r="BE7" t="e">
        <f>AND(#REF!,"AAAAAF9pnTg=")</f>
        <v>#REF!</v>
      </c>
      <c r="BF7" t="e">
        <f>AND(#REF!,"AAAAAF9pnTk=")</f>
        <v>#REF!</v>
      </c>
      <c r="BG7" t="e">
        <f>AND(#REF!,"AAAAAF9pnTo=")</f>
        <v>#REF!</v>
      </c>
      <c r="BH7" t="e">
        <f>AND(#REF!,"AAAAAF9pnTs=")</f>
        <v>#REF!</v>
      </c>
      <c r="BI7" t="e">
        <f>AND(#REF!,"AAAAAF9pnTw=")</f>
        <v>#REF!</v>
      </c>
      <c r="BJ7" t="e">
        <f>AND(#REF!,"AAAAAF9pnT0=")</f>
        <v>#REF!</v>
      </c>
      <c r="BK7" t="e">
        <f>AND(#REF!,"AAAAAF9pnT4=")</f>
        <v>#REF!</v>
      </c>
      <c r="BL7" t="e">
        <f>AND(#REF!,"AAAAAF9pnT8=")</f>
        <v>#REF!</v>
      </c>
      <c r="BM7" t="e">
        <f>AND(#REF!,"AAAAAF9pnUA=")</f>
        <v>#REF!</v>
      </c>
      <c r="BN7" t="e">
        <f>AND(#REF!,"AAAAAF9pnUE=")</f>
        <v>#REF!</v>
      </c>
      <c r="BO7" t="e">
        <f>AND(#REF!,"AAAAAF9pnUI=")</f>
        <v>#REF!</v>
      </c>
      <c r="BP7" t="e">
        <f>IF(#REF!,"AAAAAF9pnUM=",0)</f>
        <v>#REF!</v>
      </c>
      <c r="BQ7" t="e">
        <f>AND(#REF!,"AAAAAF9pnUQ=")</f>
        <v>#REF!</v>
      </c>
      <c r="BR7" t="e">
        <f>AND(#REF!,"AAAAAF9pnUU=")</f>
        <v>#REF!</v>
      </c>
      <c r="BS7" t="e">
        <f>AND(#REF!,"AAAAAF9pnUY=")</f>
        <v>#REF!</v>
      </c>
      <c r="BT7" t="e">
        <f>AND(#REF!,"AAAAAF9pnUc=")</f>
        <v>#REF!</v>
      </c>
      <c r="BU7" t="e">
        <f>AND(#REF!,"AAAAAF9pnUg=")</f>
        <v>#REF!</v>
      </c>
      <c r="BV7" t="e">
        <f>AND(#REF!,"AAAAAF9pnUk=")</f>
        <v>#REF!</v>
      </c>
      <c r="BW7" t="e">
        <f>AND(#REF!,"AAAAAF9pnUo=")</f>
        <v>#REF!</v>
      </c>
      <c r="BX7" t="e">
        <f>AND(#REF!,"AAAAAF9pnUs=")</f>
        <v>#REF!</v>
      </c>
      <c r="BY7" t="e">
        <f>AND(#REF!,"AAAAAF9pnUw=")</f>
        <v>#REF!</v>
      </c>
      <c r="BZ7" t="e">
        <f>AND(#REF!,"AAAAAF9pnU0=")</f>
        <v>#REF!</v>
      </c>
      <c r="CA7" t="e">
        <f>AND(#REF!,"AAAAAF9pnU4=")</f>
        <v>#REF!</v>
      </c>
      <c r="CB7" t="e">
        <f>AND(#REF!,"AAAAAF9pnU8=")</f>
        <v>#REF!</v>
      </c>
      <c r="CC7" t="e">
        <f>IF(#REF!,"AAAAAF9pnVA=",0)</f>
        <v>#REF!</v>
      </c>
      <c r="CD7" t="e">
        <f>AND(#REF!,"AAAAAF9pnVE=")</f>
        <v>#REF!</v>
      </c>
      <c r="CE7" t="e">
        <f>AND(#REF!,"AAAAAF9pnVI=")</f>
        <v>#REF!</v>
      </c>
      <c r="CF7" t="e">
        <f>AND(#REF!,"AAAAAF9pnVM=")</f>
        <v>#REF!</v>
      </c>
      <c r="CG7" t="e">
        <f>AND(#REF!,"AAAAAF9pnVQ=")</f>
        <v>#REF!</v>
      </c>
      <c r="CH7" t="e">
        <f>AND(#REF!,"AAAAAF9pnVU=")</f>
        <v>#REF!</v>
      </c>
      <c r="CI7" t="e">
        <f>AND(#REF!,"AAAAAF9pnVY=")</f>
        <v>#REF!</v>
      </c>
      <c r="CJ7" t="e">
        <f>AND(#REF!,"AAAAAF9pnVc=")</f>
        <v>#REF!</v>
      </c>
      <c r="CK7" t="e">
        <f>AND(#REF!,"AAAAAF9pnVg=")</f>
        <v>#REF!</v>
      </c>
      <c r="CL7" t="e">
        <f>AND(#REF!,"AAAAAF9pnVk=")</f>
        <v>#REF!</v>
      </c>
      <c r="CM7" t="e">
        <f>AND(#REF!,"AAAAAF9pnVo=")</f>
        <v>#REF!</v>
      </c>
      <c r="CN7" t="e">
        <f>AND(#REF!,"AAAAAF9pnVs=")</f>
        <v>#REF!</v>
      </c>
      <c r="CO7" t="e">
        <f>AND(#REF!,"AAAAAF9pnVw=")</f>
        <v>#REF!</v>
      </c>
      <c r="CP7" t="e">
        <f>IF(#REF!,"AAAAAF9pnV0=",0)</f>
        <v>#REF!</v>
      </c>
      <c r="CQ7" t="e">
        <f>AND(#REF!,"AAAAAF9pnV4=")</f>
        <v>#REF!</v>
      </c>
      <c r="CR7" t="e">
        <f>AND(#REF!,"AAAAAF9pnV8=")</f>
        <v>#REF!</v>
      </c>
      <c r="CS7" t="e">
        <f>AND(#REF!,"AAAAAF9pnWA=")</f>
        <v>#REF!</v>
      </c>
      <c r="CT7" t="e">
        <f>AND(#REF!,"AAAAAF9pnWE=")</f>
        <v>#REF!</v>
      </c>
      <c r="CU7" t="e">
        <f>AND(#REF!,"AAAAAF9pnWI=")</f>
        <v>#REF!</v>
      </c>
      <c r="CV7" t="e">
        <f>AND(#REF!,"AAAAAF9pnWM=")</f>
        <v>#REF!</v>
      </c>
      <c r="CW7" t="e">
        <f>AND(#REF!,"AAAAAF9pnWQ=")</f>
        <v>#REF!</v>
      </c>
      <c r="CX7" t="e">
        <f>AND(#REF!,"AAAAAF9pnWU=")</f>
        <v>#REF!</v>
      </c>
      <c r="CY7" t="e">
        <f>AND(#REF!,"AAAAAF9pnWY=")</f>
        <v>#REF!</v>
      </c>
      <c r="CZ7" t="e">
        <f>AND(#REF!,"AAAAAF9pnWc=")</f>
        <v>#REF!</v>
      </c>
      <c r="DA7" t="e">
        <f>AND(#REF!,"AAAAAF9pnWg=")</f>
        <v>#REF!</v>
      </c>
      <c r="DB7" t="e">
        <f>AND(#REF!,"AAAAAF9pnWk=")</f>
        <v>#REF!</v>
      </c>
      <c r="DC7" t="e">
        <f>IF(#REF!,"AAAAAF9pnWo=",0)</f>
        <v>#REF!</v>
      </c>
      <c r="DD7" t="e">
        <f>AND(#REF!,"AAAAAF9pnWs=")</f>
        <v>#REF!</v>
      </c>
      <c r="DE7" t="e">
        <f>AND(#REF!,"AAAAAF9pnWw=")</f>
        <v>#REF!</v>
      </c>
      <c r="DF7" t="e">
        <f>AND(#REF!,"AAAAAF9pnW0=")</f>
        <v>#REF!</v>
      </c>
      <c r="DG7" t="e">
        <f>AND(#REF!,"AAAAAF9pnW4=")</f>
        <v>#REF!</v>
      </c>
      <c r="DH7" t="e">
        <f>AND(#REF!,"AAAAAF9pnW8=")</f>
        <v>#REF!</v>
      </c>
      <c r="DI7" t="e">
        <f>AND(#REF!,"AAAAAF9pnXA=")</f>
        <v>#REF!</v>
      </c>
      <c r="DJ7" t="e">
        <f>AND(#REF!,"AAAAAF9pnXE=")</f>
        <v>#REF!</v>
      </c>
      <c r="DK7" t="e">
        <f>AND(#REF!,"AAAAAF9pnXI=")</f>
        <v>#REF!</v>
      </c>
      <c r="DL7" t="e">
        <f>AND(#REF!,"AAAAAF9pnXM=")</f>
        <v>#REF!</v>
      </c>
      <c r="DM7" t="e">
        <f>AND(#REF!,"AAAAAF9pnXQ=")</f>
        <v>#REF!</v>
      </c>
      <c r="DN7" t="e">
        <f>AND(#REF!,"AAAAAF9pnXU=")</f>
        <v>#REF!</v>
      </c>
      <c r="DO7" t="e">
        <f>AND(#REF!,"AAAAAF9pnXY=")</f>
        <v>#REF!</v>
      </c>
      <c r="DP7" t="e">
        <f>IF(#REF!,"AAAAAF9pnXc=",0)</f>
        <v>#REF!</v>
      </c>
      <c r="DQ7" t="e">
        <f>AND(#REF!,"AAAAAF9pnXg=")</f>
        <v>#REF!</v>
      </c>
      <c r="DR7" t="e">
        <f>AND(#REF!,"AAAAAF9pnXk=")</f>
        <v>#REF!</v>
      </c>
      <c r="DS7" t="e">
        <f>AND(#REF!,"AAAAAF9pnXo=")</f>
        <v>#REF!</v>
      </c>
      <c r="DT7" t="e">
        <f>AND(#REF!,"AAAAAF9pnXs=")</f>
        <v>#REF!</v>
      </c>
      <c r="DU7" t="e">
        <f>AND(#REF!,"AAAAAF9pnXw=")</f>
        <v>#REF!</v>
      </c>
      <c r="DV7" t="e">
        <f>AND(#REF!,"AAAAAF9pnX0=")</f>
        <v>#REF!</v>
      </c>
      <c r="DW7" t="e">
        <f>AND(#REF!,"AAAAAF9pnX4=")</f>
        <v>#REF!</v>
      </c>
      <c r="DX7" t="e">
        <f>AND(#REF!,"AAAAAF9pnX8=")</f>
        <v>#REF!</v>
      </c>
      <c r="DY7" t="e">
        <f>AND(#REF!,"AAAAAF9pnYA=")</f>
        <v>#REF!</v>
      </c>
      <c r="DZ7" t="e">
        <f>AND(#REF!,"AAAAAF9pnYE=")</f>
        <v>#REF!</v>
      </c>
      <c r="EA7" t="e">
        <f>AND(#REF!,"AAAAAF9pnYI=")</f>
        <v>#REF!</v>
      </c>
      <c r="EB7" t="e">
        <f>AND(#REF!,"AAAAAF9pnYM=")</f>
        <v>#REF!</v>
      </c>
      <c r="EC7" t="e">
        <f>IF(#REF!,"AAAAAF9pnYQ=",0)</f>
        <v>#REF!</v>
      </c>
      <c r="ED7" t="e">
        <f>AND(#REF!,"AAAAAF9pnYU=")</f>
        <v>#REF!</v>
      </c>
      <c r="EE7" t="e">
        <f>AND(#REF!,"AAAAAF9pnYY=")</f>
        <v>#REF!</v>
      </c>
      <c r="EF7" t="e">
        <f>AND(#REF!,"AAAAAF9pnYc=")</f>
        <v>#REF!</v>
      </c>
      <c r="EG7" t="e">
        <f>AND(#REF!,"AAAAAF9pnYg=")</f>
        <v>#REF!</v>
      </c>
      <c r="EH7" t="e">
        <f>AND(#REF!,"AAAAAF9pnYk=")</f>
        <v>#REF!</v>
      </c>
      <c r="EI7" t="e">
        <f>AND(#REF!,"AAAAAF9pnYo=")</f>
        <v>#REF!</v>
      </c>
      <c r="EJ7" t="e">
        <f>AND(#REF!,"AAAAAF9pnYs=")</f>
        <v>#REF!</v>
      </c>
      <c r="EK7" t="e">
        <f>AND(#REF!,"AAAAAF9pnYw=")</f>
        <v>#REF!</v>
      </c>
      <c r="EL7" t="e">
        <f>AND(#REF!,"AAAAAF9pnY0=")</f>
        <v>#REF!</v>
      </c>
      <c r="EM7" t="e">
        <f>AND(#REF!,"AAAAAF9pnY4=")</f>
        <v>#REF!</v>
      </c>
      <c r="EN7" t="e">
        <f>AND(#REF!,"AAAAAF9pnY8=")</f>
        <v>#REF!</v>
      </c>
      <c r="EO7" t="e">
        <f>AND(#REF!,"AAAAAF9pnZA=")</f>
        <v>#REF!</v>
      </c>
      <c r="EP7" t="e">
        <f>IF(#REF!,"AAAAAF9pnZE=",0)</f>
        <v>#REF!</v>
      </c>
      <c r="EQ7" t="e">
        <f>AND(#REF!,"AAAAAF9pnZI=")</f>
        <v>#REF!</v>
      </c>
      <c r="ER7" t="e">
        <f>AND(#REF!,"AAAAAF9pnZM=")</f>
        <v>#REF!</v>
      </c>
      <c r="ES7" t="e">
        <f>AND(#REF!,"AAAAAF9pnZQ=")</f>
        <v>#REF!</v>
      </c>
      <c r="ET7" t="e">
        <f>AND(#REF!,"AAAAAF9pnZU=")</f>
        <v>#REF!</v>
      </c>
      <c r="EU7" t="e">
        <f>AND(#REF!,"AAAAAF9pnZY=")</f>
        <v>#REF!</v>
      </c>
      <c r="EV7" t="e">
        <f>AND(#REF!,"AAAAAF9pnZc=")</f>
        <v>#REF!</v>
      </c>
      <c r="EW7" t="e">
        <f>AND(#REF!,"AAAAAF9pnZg=")</f>
        <v>#REF!</v>
      </c>
      <c r="EX7" t="e">
        <f>AND(#REF!,"AAAAAF9pnZk=")</f>
        <v>#REF!</v>
      </c>
      <c r="EY7" t="e">
        <f>AND(#REF!,"AAAAAF9pnZo=")</f>
        <v>#REF!</v>
      </c>
      <c r="EZ7" t="e">
        <f>AND(#REF!,"AAAAAF9pnZs=")</f>
        <v>#REF!</v>
      </c>
      <c r="FA7" t="e">
        <f>AND(#REF!,"AAAAAF9pnZw=")</f>
        <v>#REF!</v>
      </c>
      <c r="FB7" t="e">
        <f>AND(#REF!,"AAAAAF9pnZ0=")</f>
        <v>#REF!</v>
      </c>
      <c r="FC7" t="e">
        <f>IF(#REF!,"AAAAAF9pnZ4=",0)</f>
        <v>#REF!</v>
      </c>
      <c r="FD7" t="e">
        <f>AND(#REF!,"AAAAAF9pnZ8=")</f>
        <v>#REF!</v>
      </c>
      <c r="FE7" t="e">
        <f>AND(#REF!,"AAAAAF9pnaA=")</f>
        <v>#REF!</v>
      </c>
      <c r="FF7" t="e">
        <f>AND(#REF!,"AAAAAF9pnaE=")</f>
        <v>#REF!</v>
      </c>
      <c r="FG7" t="e">
        <f>AND(#REF!,"AAAAAF9pnaI=")</f>
        <v>#REF!</v>
      </c>
      <c r="FH7" t="e">
        <f>AND(#REF!,"AAAAAF9pnaM=")</f>
        <v>#REF!</v>
      </c>
      <c r="FI7" t="e">
        <f>AND(#REF!,"AAAAAF9pnaQ=")</f>
        <v>#REF!</v>
      </c>
      <c r="FJ7" t="e">
        <f>AND(#REF!,"AAAAAF9pnaU=")</f>
        <v>#REF!</v>
      </c>
      <c r="FK7" t="e">
        <f>AND(#REF!,"AAAAAF9pnaY=")</f>
        <v>#REF!</v>
      </c>
      <c r="FL7" t="e">
        <f>AND(#REF!,"AAAAAF9pnac=")</f>
        <v>#REF!</v>
      </c>
      <c r="FM7" t="e">
        <f>AND(#REF!,"AAAAAF9pnag=")</f>
        <v>#REF!</v>
      </c>
      <c r="FN7" t="e">
        <f>AND(#REF!,"AAAAAF9pnak=")</f>
        <v>#REF!</v>
      </c>
      <c r="FO7" t="e">
        <f>AND(#REF!,"AAAAAF9pnao=")</f>
        <v>#REF!</v>
      </c>
      <c r="FP7" t="e">
        <f>IF(#REF!,"AAAAAF9pnas=",0)</f>
        <v>#REF!</v>
      </c>
      <c r="FQ7" t="e">
        <f>AND(#REF!,"AAAAAF9pnaw=")</f>
        <v>#REF!</v>
      </c>
      <c r="FR7" t="e">
        <f>AND(#REF!,"AAAAAF9pna0=")</f>
        <v>#REF!</v>
      </c>
      <c r="FS7" t="e">
        <f>AND(#REF!,"AAAAAF9pna4=")</f>
        <v>#REF!</v>
      </c>
      <c r="FT7" t="e">
        <f>AND(#REF!,"AAAAAF9pna8=")</f>
        <v>#REF!</v>
      </c>
      <c r="FU7" t="e">
        <f>AND(#REF!,"AAAAAF9pnbA=")</f>
        <v>#REF!</v>
      </c>
      <c r="FV7" t="e">
        <f>AND(#REF!,"AAAAAF9pnbE=")</f>
        <v>#REF!</v>
      </c>
      <c r="FW7" t="e">
        <f>AND(#REF!,"AAAAAF9pnbI=")</f>
        <v>#REF!</v>
      </c>
      <c r="FX7" t="e">
        <f>AND(#REF!,"AAAAAF9pnbM=")</f>
        <v>#REF!</v>
      </c>
      <c r="FY7" t="e">
        <f>AND(#REF!,"AAAAAF9pnbQ=")</f>
        <v>#REF!</v>
      </c>
      <c r="FZ7" t="e">
        <f>AND(#REF!,"AAAAAF9pnbU=")</f>
        <v>#REF!</v>
      </c>
      <c r="GA7" t="e">
        <f>AND(#REF!,"AAAAAF9pnbY=")</f>
        <v>#REF!</v>
      </c>
      <c r="GB7" t="e">
        <f>AND(#REF!,"AAAAAF9pnbc=")</f>
        <v>#REF!</v>
      </c>
      <c r="GC7" t="e">
        <f>IF(#REF!,"AAAAAF9pnbg=",0)</f>
        <v>#REF!</v>
      </c>
      <c r="GD7" t="e">
        <f>AND(#REF!,"AAAAAF9pnbk=")</f>
        <v>#REF!</v>
      </c>
      <c r="GE7" t="e">
        <f>AND(#REF!,"AAAAAF9pnbo=")</f>
        <v>#REF!</v>
      </c>
      <c r="GF7" t="e">
        <f>AND(#REF!,"AAAAAF9pnbs=")</f>
        <v>#REF!</v>
      </c>
      <c r="GG7" t="e">
        <f>AND(#REF!,"AAAAAF9pnbw=")</f>
        <v>#REF!</v>
      </c>
      <c r="GH7" t="e">
        <f>AND(#REF!,"AAAAAF9pnb0=")</f>
        <v>#REF!</v>
      </c>
      <c r="GI7" t="e">
        <f>AND(#REF!,"AAAAAF9pnb4=")</f>
        <v>#REF!</v>
      </c>
      <c r="GJ7" t="e">
        <f>AND(#REF!,"AAAAAF9pnb8=")</f>
        <v>#REF!</v>
      </c>
      <c r="GK7" t="e">
        <f>AND(#REF!,"AAAAAF9pncA=")</f>
        <v>#REF!</v>
      </c>
      <c r="GL7" t="e">
        <f>AND(#REF!,"AAAAAF9pncE=")</f>
        <v>#REF!</v>
      </c>
      <c r="GM7" t="e">
        <f>AND(#REF!,"AAAAAF9pncI=")</f>
        <v>#REF!</v>
      </c>
      <c r="GN7" t="e">
        <f>AND(#REF!,"AAAAAF9pncM=")</f>
        <v>#REF!</v>
      </c>
      <c r="GO7" t="e">
        <f>AND(#REF!,"AAAAAF9pncQ=")</f>
        <v>#REF!</v>
      </c>
      <c r="GP7" t="e">
        <f>IF(#REF!,"AAAAAF9pncU=",0)</f>
        <v>#REF!</v>
      </c>
      <c r="GQ7" t="e">
        <f>AND(#REF!,"AAAAAF9pncY=")</f>
        <v>#REF!</v>
      </c>
      <c r="GR7" t="e">
        <f>AND(#REF!,"AAAAAF9pncc=")</f>
        <v>#REF!</v>
      </c>
      <c r="GS7" t="e">
        <f>AND(#REF!,"AAAAAF9pncg=")</f>
        <v>#REF!</v>
      </c>
      <c r="GT7" t="e">
        <f>AND(#REF!,"AAAAAF9pnck=")</f>
        <v>#REF!</v>
      </c>
      <c r="GU7" t="e">
        <f>AND(#REF!,"AAAAAF9pnco=")</f>
        <v>#REF!</v>
      </c>
      <c r="GV7" t="e">
        <f>AND(#REF!,"AAAAAF9pncs=")</f>
        <v>#REF!</v>
      </c>
      <c r="GW7" t="e">
        <f>AND(#REF!,"AAAAAF9pncw=")</f>
        <v>#REF!</v>
      </c>
      <c r="GX7" t="e">
        <f>AND(#REF!,"AAAAAF9pnc0=")</f>
        <v>#REF!</v>
      </c>
      <c r="GY7" t="e">
        <f>AND(#REF!,"AAAAAF9pnc4=")</f>
        <v>#REF!</v>
      </c>
      <c r="GZ7" t="e">
        <f>AND(#REF!,"AAAAAF9pnc8=")</f>
        <v>#REF!</v>
      </c>
      <c r="HA7" t="e">
        <f>AND(#REF!,"AAAAAF9pndA=")</f>
        <v>#REF!</v>
      </c>
      <c r="HB7" t="e">
        <f>AND(#REF!,"AAAAAF9pndE=")</f>
        <v>#REF!</v>
      </c>
      <c r="HC7" t="e">
        <f>IF(#REF!,"AAAAAF9pndI=",0)</f>
        <v>#REF!</v>
      </c>
      <c r="HD7" t="e">
        <f>AND(#REF!,"AAAAAF9pndM=")</f>
        <v>#REF!</v>
      </c>
      <c r="HE7" t="e">
        <f>AND(#REF!,"AAAAAF9pndQ=")</f>
        <v>#REF!</v>
      </c>
      <c r="HF7" t="e">
        <f>AND(#REF!,"AAAAAF9pndU=")</f>
        <v>#REF!</v>
      </c>
      <c r="HG7" t="e">
        <f>AND(#REF!,"AAAAAF9pndY=")</f>
        <v>#REF!</v>
      </c>
      <c r="HH7" t="e">
        <f>AND(#REF!,"AAAAAF9pndc=")</f>
        <v>#REF!</v>
      </c>
      <c r="HI7" t="e">
        <f>AND(#REF!,"AAAAAF9pndg=")</f>
        <v>#REF!</v>
      </c>
      <c r="HJ7" t="e">
        <f>AND(#REF!,"AAAAAF9pndk=")</f>
        <v>#REF!</v>
      </c>
      <c r="HK7" t="e">
        <f>AND(#REF!,"AAAAAF9pndo=")</f>
        <v>#REF!</v>
      </c>
      <c r="HL7" t="e">
        <f>AND(#REF!,"AAAAAF9pnds=")</f>
        <v>#REF!</v>
      </c>
      <c r="HM7" t="e">
        <f>AND(#REF!,"AAAAAF9pndw=")</f>
        <v>#REF!</v>
      </c>
      <c r="HN7" t="e">
        <f>AND(#REF!,"AAAAAF9pnd0=")</f>
        <v>#REF!</v>
      </c>
      <c r="HO7" t="e">
        <f>AND(#REF!,"AAAAAF9pnd4=")</f>
        <v>#REF!</v>
      </c>
      <c r="HP7" t="e">
        <f>IF(#REF!,"AAAAAF9pnd8=",0)</f>
        <v>#REF!</v>
      </c>
      <c r="HQ7" t="e">
        <f>AND(#REF!,"AAAAAF9pneA=")</f>
        <v>#REF!</v>
      </c>
      <c r="HR7" t="e">
        <f>AND(#REF!,"AAAAAF9pneE=")</f>
        <v>#REF!</v>
      </c>
      <c r="HS7" t="e">
        <f>AND(#REF!,"AAAAAF9pneI=")</f>
        <v>#REF!</v>
      </c>
      <c r="HT7" t="e">
        <f>AND(#REF!,"AAAAAF9pneM=")</f>
        <v>#REF!</v>
      </c>
      <c r="HU7" t="e">
        <f>AND(#REF!,"AAAAAF9pneQ=")</f>
        <v>#REF!</v>
      </c>
      <c r="HV7" t="e">
        <f>AND(#REF!,"AAAAAF9pneU=")</f>
        <v>#REF!</v>
      </c>
      <c r="HW7" t="e">
        <f>AND(#REF!,"AAAAAF9pneY=")</f>
        <v>#REF!</v>
      </c>
      <c r="HX7" t="e">
        <f>AND(#REF!,"AAAAAF9pnec=")</f>
        <v>#REF!</v>
      </c>
      <c r="HY7" t="e">
        <f>AND(#REF!,"AAAAAF9pneg=")</f>
        <v>#REF!</v>
      </c>
      <c r="HZ7" t="e">
        <f>AND(#REF!,"AAAAAF9pnek=")</f>
        <v>#REF!</v>
      </c>
      <c r="IA7" t="e">
        <f>AND(#REF!,"AAAAAF9pneo=")</f>
        <v>#REF!</v>
      </c>
      <c r="IB7" t="e">
        <f>AND(#REF!,"AAAAAF9pnes=")</f>
        <v>#REF!</v>
      </c>
      <c r="IC7" t="e">
        <f>IF(#REF!,"AAAAAF9pnew=",0)</f>
        <v>#REF!</v>
      </c>
      <c r="ID7" t="e">
        <f>AND(#REF!,"AAAAAF9pne0=")</f>
        <v>#REF!</v>
      </c>
      <c r="IE7" t="e">
        <f>AND(#REF!,"AAAAAF9pne4=")</f>
        <v>#REF!</v>
      </c>
      <c r="IF7" t="e">
        <f>AND(#REF!,"AAAAAF9pne8=")</f>
        <v>#REF!</v>
      </c>
      <c r="IG7" t="e">
        <f>AND(#REF!,"AAAAAF9pnfA=")</f>
        <v>#REF!</v>
      </c>
      <c r="IH7" t="e">
        <f>AND(#REF!,"AAAAAF9pnfE=")</f>
        <v>#REF!</v>
      </c>
      <c r="II7" t="e">
        <f>AND(#REF!,"AAAAAF9pnfI=")</f>
        <v>#REF!</v>
      </c>
      <c r="IJ7" t="e">
        <f>AND(#REF!,"AAAAAF9pnfM=")</f>
        <v>#REF!</v>
      </c>
      <c r="IK7" t="e">
        <f>AND(#REF!,"AAAAAF9pnfQ=")</f>
        <v>#REF!</v>
      </c>
      <c r="IL7" t="e">
        <f>AND(#REF!,"AAAAAF9pnfU=")</f>
        <v>#REF!</v>
      </c>
      <c r="IM7" t="e">
        <f>AND(#REF!,"AAAAAF9pnfY=")</f>
        <v>#REF!</v>
      </c>
      <c r="IN7" t="e">
        <f>AND(#REF!,"AAAAAF9pnfc=")</f>
        <v>#REF!</v>
      </c>
      <c r="IO7" t="e">
        <f>AND(#REF!,"AAAAAF9pnfg=")</f>
        <v>#REF!</v>
      </c>
      <c r="IP7" t="e">
        <f>IF(#REF!,"AAAAAF9pnfk=",0)</f>
        <v>#REF!</v>
      </c>
      <c r="IQ7" t="e">
        <f>AND(#REF!,"AAAAAF9pnfo=")</f>
        <v>#REF!</v>
      </c>
      <c r="IR7" t="e">
        <f>AND(#REF!,"AAAAAF9pnfs=")</f>
        <v>#REF!</v>
      </c>
      <c r="IS7" t="e">
        <f>AND(#REF!,"AAAAAF9pnfw=")</f>
        <v>#REF!</v>
      </c>
      <c r="IT7" t="e">
        <f>AND(#REF!,"AAAAAF9pnf0=")</f>
        <v>#REF!</v>
      </c>
      <c r="IU7" t="e">
        <f>AND(#REF!,"AAAAAF9pnf4=")</f>
        <v>#REF!</v>
      </c>
      <c r="IV7" t="e">
        <f>AND(#REF!,"AAAAAF9pnf8=")</f>
        <v>#REF!</v>
      </c>
    </row>
    <row r="8" spans="1:256">
      <c r="A8" t="e">
        <f>AND(#REF!,"AAAAAHJ2fwA=")</f>
        <v>#REF!</v>
      </c>
      <c r="B8" t="e">
        <f>AND(#REF!,"AAAAAHJ2fwE=")</f>
        <v>#REF!</v>
      </c>
      <c r="C8" t="e">
        <f>AND(#REF!,"AAAAAHJ2fwI=")</f>
        <v>#REF!</v>
      </c>
      <c r="D8" t="e">
        <f>AND(#REF!,"AAAAAHJ2fwM=")</f>
        <v>#REF!</v>
      </c>
      <c r="E8" t="e">
        <f>AND(#REF!,"AAAAAHJ2fwQ=")</f>
        <v>#REF!</v>
      </c>
      <c r="F8" t="e">
        <f>AND(#REF!,"AAAAAHJ2fwU=")</f>
        <v>#REF!</v>
      </c>
      <c r="G8" t="e">
        <f>IF(#REF!,"AAAAAHJ2fwY=",0)</f>
        <v>#REF!</v>
      </c>
      <c r="H8" t="e">
        <f>AND(#REF!,"AAAAAHJ2fwc=")</f>
        <v>#REF!</v>
      </c>
      <c r="I8" t="e">
        <f>AND(#REF!,"AAAAAHJ2fwg=")</f>
        <v>#REF!</v>
      </c>
      <c r="J8" t="e">
        <f>AND(#REF!,"AAAAAHJ2fwk=")</f>
        <v>#REF!</v>
      </c>
      <c r="K8" t="e">
        <f>AND(#REF!,"AAAAAHJ2fwo=")</f>
        <v>#REF!</v>
      </c>
      <c r="L8" t="e">
        <f>AND(#REF!,"AAAAAHJ2fws=")</f>
        <v>#REF!</v>
      </c>
      <c r="M8" t="e">
        <f>AND(#REF!,"AAAAAHJ2fww=")</f>
        <v>#REF!</v>
      </c>
      <c r="N8" t="e">
        <f>AND(#REF!,"AAAAAHJ2fw0=")</f>
        <v>#REF!</v>
      </c>
      <c r="O8" t="e">
        <f>AND(#REF!,"AAAAAHJ2fw4=")</f>
        <v>#REF!</v>
      </c>
      <c r="P8" t="e">
        <f>AND(#REF!,"AAAAAHJ2fw8=")</f>
        <v>#REF!</v>
      </c>
      <c r="Q8" t="e">
        <f>AND(#REF!,"AAAAAHJ2fxA=")</f>
        <v>#REF!</v>
      </c>
      <c r="R8" t="e">
        <f>AND(#REF!,"AAAAAHJ2fxE=")</f>
        <v>#REF!</v>
      </c>
      <c r="S8" t="e">
        <f>AND(#REF!,"AAAAAHJ2fxI=")</f>
        <v>#REF!</v>
      </c>
      <c r="T8" t="e">
        <f>IF(#REF!,"AAAAAHJ2fxM=",0)</f>
        <v>#REF!</v>
      </c>
      <c r="U8" t="e">
        <f>AND(#REF!,"AAAAAHJ2fxQ=")</f>
        <v>#REF!</v>
      </c>
      <c r="V8" t="e">
        <f>AND(#REF!,"AAAAAHJ2fxU=")</f>
        <v>#REF!</v>
      </c>
      <c r="W8" t="e">
        <f>AND(#REF!,"AAAAAHJ2fxY=")</f>
        <v>#REF!</v>
      </c>
      <c r="X8" t="e">
        <f>AND(#REF!,"AAAAAHJ2fxc=")</f>
        <v>#REF!</v>
      </c>
      <c r="Y8" t="e">
        <f>AND(#REF!,"AAAAAHJ2fxg=")</f>
        <v>#REF!</v>
      </c>
      <c r="Z8" t="e">
        <f>AND(#REF!,"AAAAAHJ2fxk=")</f>
        <v>#REF!</v>
      </c>
      <c r="AA8" t="e">
        <f>AND(#REF!,"AAAAAHJ2fxo=")</f>
        <v>#REF!</v>
      </c>
      <c r="AB8" t="e">
        <f>AND(#REF!,"AAAAAHJ2fxs=")</f>
        <v>#REF!</v>
      </c>
      <c r="AC8" t="e">
        <f>AND(#REF!,"AAAAAHJ2fxw=")</f>
        <v>#REF!</v>
      </c>
      <c r="AD8" t="e">
        <f>AND(#REF!,"AAAAAHJ2fx0=")</f>
        <v>#REF!</v>
      </c>
      <c r="AE8" t="e">
        <f>AND(#REF!,"AAAAAHJ2fx4=")</f>
        <v>#REF!</v>
      </c>
      <c r="AF8" t="e">
        <f>AND(#REF!,"AAAAAHJ2fx8=")</f>
        <v>#REF!</v>
      </c>
      <c r="AG8" t="e">
        <f>IF(#REF!,"AAAAAHJ2fyA=",0)</f>
        <v>#REF!</v>
      </c>
      <c r="AH8" t="e">
        <f>AND(#REF!,"AAAAAHJ2fyE=")</f>
        <v>#REF!</v>
      </c>
      <c r="AI8" t="e">
        <f>AND(#REF!,"AAAAAHJ2fyI=")</f>
        <v>#REF!</v>
      </c>
      <c r="AJ8" t="e">
        <f>AND(#REF!,"AAAAAHJ2fyM=")</f>
        <v>#REF!</v>
      </c>
      <c r="AK8" t="e">
        <f>AND(#REF!,"AAAAAHJ2fyQ=")</f>
        <v>#REF!</v>
      </c>
      <c r="AL8" t="e">
        <f>AND(#REF!,"AAAAAHJ2fyU=")</f>
        <v>#REF!</v>
      </c>
      <c r="AM8" t="e">
        <f>AND(#REF!,"AAAAAHJ2fyY=")</f>
        <v>#REF!</v>
      </c>
      <c r="AN8" t="e">
        <f>AND(#REF!,"AAAAAHJ2fyc=")</f>
        <v>#REF!</v>
      </c>
      <c r="AO8" t="e">
        <f>AND(#REF!,"AAAAAHJ2fyg=")</f>
        <v>#REF!</v>
      </c>
      <c r="AP8" t="e">
        <f>AND(#REF!,"AAAAAHJ2fyk=")</f>
        <v>#REF!</v>
      </c>
      <c r="AQ8" t="e">
        <f>AND(#REF!,"AAAAAHJ2fyo=")</f>
        <v>#REF!</v>
      </c>
      <c r="AR8" t="e">
        <f>AND(#REF!,"AAAAAHJ2fys=")</f>
        <v>#REF!</v>
      </c>
      <c r="AS8" t="e">
        <f>AND(#REF!,"AAAAAHJ2fyw=")</f>
        <v>#REF!</v>
      </c>
      <c r="AT8" t="e">
        <f>IF(#REF!,"AAAAAHJ2fy0=",0)</f>
        <v>#REF!</v>
      </c>
      <c r="AU8" t="e">
        <f>AND(#REF!,"AAAAAHJ2fy4=")</f>
        <v>#REF!</v>
      </c>
      <c r="AV8" t="e">
        <f>AND(#REF!,"AAAAAHJ2fy8=")</f>
        <v>#REF!</v>
      </c>
      <c r="AW8" t="e">
        <f>AND(#REF!,"AAAAAHJ2fzA=")</f>
        <v>#REF!</v>
      </c>
      <c r="AX8" t="e">
        <f>AND(#REF!,"AAAAAHJ2fzE=")</f>
        <v>#REF!</v>
      </c>
      <c r="AY8" t="e">
        <f>AND(#REF!,"AAAAAHJ2fzI=")</f>
        <v>#REF!</v>
      </c>
      <c r="AZ8" t="e">
        <f>AND(#REF!,"AAAAAHJ2fzM=")</f>
        <v>#REF!</v>
      </c>
      <c r="BA8" t="e">
        <f>AND(#REF!,"AAAAAHJ2fzQ=")</f>
        <v>#REF!</v>
      </c>
      <c r="BB8" t="e">
        <f>AND(#REF!,"AAAAAHJ2fzU=")</f>
        <v>#REF!</v>
      </c>
      <c r="BC8" t="e">
        <f>AND(#REF!,"AAAAAHJ2fzY=")</f>
        <v>#REF!</v>
      </c>
      <c r="BD8" t="e">
        <f>AND(#REF!,"AAAAAHJ2fzc=")</f>
        <v>#REF!</v>
      </c>
      <c r="BE8" t="e">
        <f>AND(#REF!,"AAAAAHJ2fzg=")</f>
        <v>#REF!</v>
      </c>
      <c r="BF8" t="e">
        <f>AND(#REF!,"AAAAAHJ2fzk=")</f>
        <v>#REF!</v>
      </c>
      <c r="BG8" t="e">
        <f>IF(#REF!,"AAAAAHJ2fzo=",0)</f>
        <v>#REF!</v>
      </c>
      <c r="BH8" t="e">
        <f>AND(#REF!,"AAAAAHJ2fzs=")</f>
        <v>#REF!</v>
      </c>
      <c r="BI8" t="e">
        <f>AND(#REF!,"AAAAAHJ2fzw=")</f>
        <v>#REF!</v>
      </c>
      <c r="BJ8" t="e">
        <f>AND(#REF!,"AAAAAHJ2fz0=")</f>
        <v>#REF!</v>
      </c>
      <c r="BK8" t="e">
        <f>AND(#REF!,"AAAAAHJ2fz4=")</f>
        <v>#REF!</v>
      </c>
      <c r="BL8" t="e">
        <f>AND(#REF!,"AAAAAHJ2fz8=")</f>
        <v>#REF!</v>
      </c>
      <c r="BM8" t="e">
        <f>AND(#REF!,"AAAAAHJ2f0A=")</f>
        <v>#REF!</v>
      </c>
      <c r="BN8" t="e">
        <f>AND(#REF!,"AAAAAHJ2f0E=")</f>
        <v>#REF!</v>
      </c>
      <c r="BO8" t="e">
        <f>AND(#REF!,"AAAAAHJ2f0I=")</f>
        <v>#REF!</v>
      </c>
      <c r="BP8" t="e">
        <f>AND(#REF!,"AAAAAHJ2f0M=")</f>
        <v>#REF!</v>
      </c>
      <c r="BQ8" t="e">
        <f>AND(#REF!,"AAAAAHJ2f0Q=")</f>
        <v>#REF!</v>
      </c>
      <c r="BR8" t="e">
        <f>AND(#REF!,"AAAAAHJ2f0U=")</f>
        <v>#REF!</v>
      </c>
      <c r="BS8" t="e">
        <f>AND(#REF!,"AAAAAHJ2f0Y=")</f>
        <v>#REF!</v>
      </c>
      <c r="BT8" t="e">
        <f>IF(#REF!,"AAAAAHJ2f0c=",0)</f>
        <v>#REF!</v>
      </c>
      <c r="BU8" t="e">
        <f>AND(#REF!,"AAAAAHJ2f0g=")</f>
        <v>#REF!</v>
      </c>
      <c r="BV8" t="e">
        <f>AND(#REF!,"AAAAAHJ2f0k=")</f>
        <v>#REF!</v>
      </c>
      <c r="BW8" t="e">
        <f>AND(#REF!,"AAAAAHJ2f0o=")</f>
        <v>#REF!</v>
      </c>
      <c r="BX8" t="e">
        <f>AND(#REF!,"AAAAAHJ2f0s=")</f>
        <v>#REF!</v>
      </c>
      <c r="BY8" t="e">
        <f>AND(#REF!,"AAAAAHJ2f0w=")</f>
        <v>#REF!</v>
      </c>
      <c r="BZ8" t="e">
        <f>AND(#REF!,"AAAAAHJ2f00=")</f>
        <v>#REF!</v>
      </c>
      <c r="CA8" t="e">
        <f>AND(#REF!,"AAAAAHJ2f04=")</f>
        <v>#REF!</v>
      </c>
      <c r="CB8" t="e">
        <f>AND(#REF!,"AAAAAHJ2f08=")</f>
        <v>#REF!</v>
      </c>
      <c r="CC8" t="e">
        <f>AND(#REF!,"AAAAAHJ2f1A=")</f>
        <v>#REF!</v>
      </c>
      <c r="CD8" t="e">
        <f>AND(#REF!,"AAAAAHJ2f1E=")</f>
        <v>#REF!</v>
      </c>
      <c r="CE8" t="e">
        <f>AND(#REF!,"AAAAAHJ2f1I=")</f>
        <v>#REF!</v>
      </c>
      <c r="CF8" t="e">
        <f>AND(#REF!,"AAAAAHJ2f1M=")</f>
        <v>#REF!</v>
      </c>
      <c r="CG8" t="e">
        <f>IF(#REF!,"AAAAAHJ2f1Q=",0)</f>
        <v>#REF!</v>
      </c>
      <c r="CH8" t="e">
        <f>AND(#REF!,"AAAAAHJ2f1U=")</f>
        <v>#REF!</v>
      </c>
      <c r="CI8" t="e">
        <f>AND(#REF!,"AAAAAHJ2f1Y=")</f>
        <v>#REF!</v>
      </c>
      <c r="CJ8" t="e">
        <f>AND(#REF!,"AAAAAHJ2f1c=")</f>
        <v>#REF!</v>
      </c>
      <c r="CK8" t="e">
        <f>AND(#REF!,"AAAAAHJ2f1g=")</f>
        <v>#REF!</v>
      </c>
      <c r="CL8" t="e">
        <f>AND(#REF!,"AAAAAHJ2f1k=")</f>
        <v>#REF!</v>
      </c>
      <c r="CM8" t="e">
        <f>AND(#REF!,"AAAAAHJ2f1o=")</f>
        <v>#REF!</v>
      </c>
      <c r="CN8" t="e">
        <f>AND(#REF!,"AAAAAHJ2f1s=")</f>
        <v>#REF!</v>
      </c>
      <c r="CO8" t="e">
        <f>AND(#REF!,"AAAAAHJ2f1w=")</f>
        <v>#REF!</v>
      </c>
      <c r="CP8" t="e">
        <f>AND(#REF!,"AAAAAHJ2f10=")</f>
        <v>#REF!</v>
      </c>
      <c r="CQ8" t="e">
        <f>AND(#REF!,"AAAAAHJ2f14=")</f>
        <v>#REF!</v>
      </c>
      <c r="CR8" t="e">
        <f>AND(#REF!,"AAAAAHJ2f18=")</f>
        <v>#REF!</v>
      </c>
      <c r="CS8" t="e">
        <f>AND(#REF!,"AAAAAHJ2f2A=")</f>
        <v>#REF!</v>
      </c>
      <c r="CT8" t="e">
        <f>IF(#REF!,"AAAAAHJ2f2E=",0)</f>
        <v>#REF!</v>
      </c>
      <c r="CU8" t="e">
        <f>AND(#REF!,"AAAAAHJ2f2I=")</f>
        <v>#REF!</v>
      </c>
      <c r="CV8" t="e">
        <f>AND(#REF!,"AAAAAHJ2f2M=")</f>
        <v>#REF!</v>
      </c>
      <c r="CW8" t="e">
        <f>AND(#REF!,"AAAAAHJ2f2Q=")</f>
        <v>#REF!</v>
      </c>
      <c r="CX8" t="e">
        <f>AND(#REF!,"AAAAAHJ2f2U=")</f>
        <v>#REF!</v>
      </c>
      <c r="CY8" t="e">
        <f>AND(#REF!,"AAAAAHJ2f2Y=")</f>
        <v>#REF!</v>
      </c>
      <c r="CZ8" t="e">
        <f>AND(#REF!,"AAAAAHJ2f2c=")</f>
        <v>#REF!</v>
      </c>
      <c r="DA8" t="e">
        <f>AND(#REF!,"AAAAAHJ2f2g=")</f>
        <v>#REF!</v>
      </c>
      <c r="DB8" t="e">
        <f>AND(#REF!,"AAAAAHJ2f2k=")</f>
        <v>#REF!</v>
      </c>
      <c r="DC8" t="e">
        <f>AND(#REF!,"AAAAAHJ2f2o=")</f>
        <v>#REF!</v>
      </c>
      <c r="DD8" t="e">
        <f>AND(#REF!,"AAAAAHJ2f2s=")</f>
        <v>#REF!</v>
      </c>
      <c r="DE8" t="e">
        <f>AND(#REF!,"AAAAAHJ2f2w=")</f>
        <v>#REF!</v>
      </c>
      <c r="DF8" t="e">
        <f>AND(#REF!,"AAAAAHJ2f20=")</f>
        <v>#REF!</v>
      </c>
      <c r="DG8" t="e">
        <f>IF(#REF!,"AAAAAHJ2f24=",0)</f>
        <v>#REF!</v>
      </c>
      <c r="DH8" t="e">
        <f>AND(#REF!,"AAAAAHJ2f28=")</f>
        <v>#REF!</v>
      </c>
      <c r="DI8" t="e">
        <f>AND(#REF!,"AAAAAHJ2f3A=")</f>
        <v>#REF!</v>
      </c>
      <c r="DJ8" t="e">
        <f>AND(#REF!,"AAAAAHJ2f3E=")</f>
        <v>#REF!</v>
      </c>
      <c r="DK8" t="e">
        <f>AND(#REF!,"AAAAAHJ2f3I=")</f>
        <v>#REF!</v>
      </c>
      <c r="DL8" t="e">
        <f>AND(#REF!,"AAAAAHJ2f3M=")</f>
        <v>#REF!</v>
      </c>
      <c r="DM8" t="e">
        <f>AND(#REF!,"AAAAAHJ2f3Q=")</f>
        <v>#REF!</v>
      </c>
      <c r="DN8" t="e">
        <f>AND(#REF!,"AAAAAHJ2f3U=")</f>
        <v>#REF!</v>
      </c>
      <c r="DO8" t="e">
        <f>AND(#REF!,"AAAAAHJ2f3Y=")</f>
        <v>#REF!</v>
      </c>
      <c r="DP8" t="e">
        <f>AND(#REF!,"AAAAAHJ2f3c=")</f>
        <v>#REF!</v>
      </c>
      <c r="DQ8" t="e">
        <f>AND(#REF!,"AAAAAHJ2f3g=")</f>
        <v>#REF!</v>
      </c>
      <c r="DR8" t="e">
        <f>AND(#REF!,"AAAAAHJ2f3k=")</f>
        <v>#REF!</v>
      </c>
      <c r="DS8" t="e">
        <f>AND(#REF!,"AAAAAHJ2f3o=")</f>
        <v>#REF!</v>
      </c>
      <c r="DT8" t="e">
        <f>IF(#REF!,"AAAAAHJ2f3s=",0)</f>
        <v>#REF!</v>
      </c>
      <c r="DU8" t="e">
        <f>AND(#REF!,"AAAAAHJ2f3w=")</f>
        <v>#REF!</v>
      </c>
      <c r="DV8" t="e">
        <f>AND(#REF!,"AAAAAHJ2f30=")</f>
        <v>#REF!</v>
      </c>
      <c r="DW8" t="e">
        <f>AND(#REF!,"AAAAAHJ2f34=")</f>
        <v>#REF!</v>
      </c>
      <c r="DX8" t="e">
        <f>AND(#REF!,"AAAAAHJ2f38=")</f>
        <v>#REF!</v>
      </c>
      <c r="DY8" t="e">
        <f>AND(#REF!,"AAAAAHJ2f4A=")</f>
        <v>#REF!</v>
      </c>
      <c r="DZ8" t="e">
        <f>AND(#REF!,"AAAAAHJ2f4E=")</f>
        <v>#REF!</v>
      </c>
      <c r="EA8" t="e">
        <f>AND(#REF!,"AAAAAHJ2f4I=")</f>
        <v>#REF!</v>
      </c>
      <c r="EB8" t="e">
        <f>AND(#REF!,"AAAAAHJ2f4M=")</f>
        <v>#REF!</v>
      </c>
      <c r="EC8" t="e">
        <f>AND(#REF!,"AAAAAHJ2f4Q=")</f>
        <v>#REF!</v>
      </c>
      <c r="ED8" t="e">
        <f>AND(#REF!,"AAAAAHJ2f4U=")</f>
        <v>#REF!</v>
      </c>
      <c r="EE8" t="e">
        <f>AND(#REF!,"AAAAAHJ2f4Y=")</f>
        <v>#REF!</v>
      </c>
      <c r="EF8" t="e">
        <f>AND(#REF!,"AAAAAHJ2f4c=")</f>
        <v>#REF!</v>
      </c>
      <c r="EG8" t="e">
        <f>IF(#REF!,"AAAAAHJ2f4g=",0)</f>
        <v>#REF!</v>
      </c>
      <c r="EH8" t="e">
        <f>AND(#REF!,"AAAAAHJ2f4k=")</f>
        <v>#REF!</v>
      </c>
      <c r="EI8" t="e">
        <f>AND(#REF!,"AAAAAHJ2f4o=")</f>
        <v>#REF!</v>
      </c>
      <c r="EJ8" t="e">
        <f>AND(#REF!,"AAAAAHJ2f4s=")</f>
        <v>#REF!</v>
      </c>
      <c r="EK8" t="e">
        <f>AND(#REF!,"AAAAAHJ2f4w=")</f>
        <v>#REF!</v>
      </c>
      <c r="EL8" t="e">
        <f>AND(#REF!,"AAAAAHJ2f40=")</f>
        <v>#REF!</v>
      </c>
      <c r="EM8" t="e">
        <f>AND(#REF!,"AAAAAHJ2f44=")</f>
        <v>#REF!</v>
      </c>
      <c r="EN8" t="e">
        <f>AND(#REF!,"AAAAAHJ2f48=")</f>
        <v>#REF!</v>
      </c>
      <c r="EO8" t="e">
        <f>AND(#REF!,"AAAAAHJ2f5A=")</f>
        <v>#REF!</v>
      </c>
      <c r="EP8" t="e">
        <f>AND(#REF!,"AAAAAHJ2f5E=")</f>
        <v>#REF!</v>
      </c>
      <c r="EQ8" t="e">
        <f>AND(#REF!,"AAAAAHJ2f5I=")</f>
        <v>#REF!</v>
      </c>
      <c r="ER8" t="e">
        <f>AND(#REF!,"AAAAAHJ2f5M=")</f>
        <v>#REF!</v>
      </c>
      <c r="ES8" t="e">
        <f>AND(#REF!,"AAAAAHJ2f5Q=")</f>
        <v>#REF!</v>
      </c>
      <c r="ET8" t="e">
        <f>IF(#REF!,"AAAAAHJ2f5U=",0)</f>
        <v>#REF!</v>
      </c>
      <c r="EU8" t="e">
        <f>AND(#REF!,"AAAAAHJ2f5Y=")</f>
        <v>#REF!</v>
      </c>
      <c r="EV8" t="e">
        <f>AND(#REF!,"AAAAAHJ2f5c=")</f>
        <v>#REF!</v>
      </c>
      <c r="EW8" t="e">
        <f>AND(#REF!,"AAAAAHJ2f5g=")</f>
        <v>#REF!</v>
      </c>
      <c r="EX8" t="e">
        <f>AND(#REF!,"AAAAAHJ2f5k=")</f>
        <v>#REF!</v>
      </c>
      <c r="EY8" t="e">
        <f>AND(#REF!,"AAAAAHJ2f5o=")</f>
        <v>#REF!</v>
      </c>
      <c r="EZ8" t="e">
        <f>AND(#REF!,"AAAAAHJ2f5s=")</f>
        <v>#REF!</v>
      </c>
      <c r="FA8" t="e">
        <f>AND(#REF!,"AAAAAHJ2f5w=")</f>
        <v>#REF!</v>
      </c>
      <c r="FB8" t="e">
        <f>AND(#REF!,"AAAAAHJ2f50=")</f>
        <v>#REF!</v>
      </c>
      <c r="FC8" t="e">
        <f>AND(#REF!,"AAAAAHJ2f54=")</f>
        <v>#REF!</v>
      </c>
      <c r="FD8" t="e">
        <f>AND(#REF!,"AAAAAHJ2f58=")</f>
        <v>#REF!</v>
      </c>
      <c r="FE8" t="e">
        <f>AND(#REF!,"AAAAAHJ2f6A=")</f>
        <v>#REF!</v>
      </c>
      <c r="FF8" t="e">
        <f>AND(#REF!,"AAAAAHJ2f6E=")</f>
        <v>#REF!</v>
      </c>
      <c r="FG8" t="e">
        <f>IF(#REF!,"AAAAAHJ2f6I=",0)</f>
        <v>#REF!</v>
      </c>
      <c r="FH8" t="e">
        <f>AND(#REF!,"AAAAAHJ2f6M=")</f>
        <v>#REF!</v>
      </c>
      <c r="FI8" t="e">
        <f>AND(#REF!,"AAAAAHJ2f6Q=")</f>
        <v>#REF!</v>
      </c>
      <c r="FJ8" t="e">
        <f>AND(#REF!,"AAAAAHJ2f6U=")</f>
        <v>#REF!</v>
      </c>
      <c r="FK8" t="e">
        <f>AND(#REF!,"AAAAAHJ2f6Y=")</f>
        <v>#REF!</v>
      </c>
      <c r="FL8" t="e">
        <f>AND(#REF!,"AAAAAHJ2f6c=")</f>
        <v>#REF!</v>
      </c>
      <c r="FM8" t="e">
        <f>AND(#REF!,"AAAAAHJ2f6g=")</f>
        <v>#REF!</v>
      </c>
      <c r="FN8" t="e">
        <f>AND(#REF!,"AAAAAHJ2f6k=")</f>
        <v>#REF!</v>
      </c>
      <c r="FO8" t="e">
        <f>AND(#REF!,"AAAAAHJ2f6o=")</f>
        <v>#REF!</v>
      </c>
      <c r="FP8" t="e">
        <f>AND(#REF!,"AAAAAHJ2f6s=")</f>
        <v>#REF!</v>
      </c>
      <c r="FQ8" t="e">
        <f>AND(#REF!,"AAAAAHJ2f6w=")</f>
        <v>#REF!</v>
      </c>
      <c r="FR8" t="e">
        <f>AND(#REF!,"AAAAAHJ2f60=")</f>
        <v>#REF!</v>
      </c>
      <c r="FS8" t="e">
        <f>AND(#REF!,"AAAAAHJ2f64=")</f>
        <v>#REF!</v>
      </c>
      <c r="FT8" t="e">
        <f>IF(#REF!,"AAAAAHJ2f68=",0)</f>
        <v>#REF!</v>
      </c>
      <c r="FU8" t="e">
        <f>AND(#REF!,"AAAAAHJ2f7A=")</f>
        <v>#REF!</v>
      </c>
      <c r="FV8" t="e">
        <f>AND(#REF!,"AAAAAHJ2f7E=")</f>
        <v>#REF!</v>
      </c>
      <c r="FW8" t="e">
        <f>AND(#REF!,"AAAAAHJ2f7I=")</f>
        <v>#REF!</v>
      </c>
      <c r="FX8" t="e">
        <f>AND(#REF!,"AAAAAHJ2f7M=")</f>
        <v>#REF!</v>
      </c>
      <c r="FY8" t="e">
        <f>AND(#REF!,"AAAAAHJ2f7Q=")</f>
        <v>#REF!</v>
      </c>
      <c r="FZ8" t="e">
        <f>AND(#REF!,"AAAAAHJ2f7U=")</f>
        <v>#REF!</v>
      </c>
      <c r="GA8" t="e">
        <f>AND(#REF!,"AAAAAHJ2f7Y=")</f>
        <v>#REF!</v>
      </c>
      <c r="GB8" t="e">
        <f>AND(#REF!,"AAAAAHJ2f7c=")</f>
        <v>#REF!</v>
      </c>
      <c r="GC8" t="e">
        <f>AND(#REF!,"AAAAAHJ2f7g=")</f>
        <v>#REF!</v>
      </c>
      <c r="GD8" t="e">
        <f>AND(#REF!,"AAAAAHJ2f7k=")</f>
        <v>#REF!</v>
      </c>
      <c r="GE8" t="e">
        <f>AND(#REF!,"AAAAAHJ2f7o=")</f>
        <v>#REF!</v>
      </c>
      <c r="GF8" t="e">
        <f>AND(#REF!,"AAAAAHJ2f7s=")</f>
        <v>#REF!</v>
      </c>
      <c r="GG8" t="e">
        <f>IF(#REF!,"AAAAAHJ2f7w=",0)</f>
        <v>#REF!</v>
      </c>
      <c r="GH8" t="e">
        <f>AND(#REF!,"AAAAAHJ2f70=")</f>
        <v>#REF!</v>
      </c>
      <c r="GI8" t="e">
        <f>AND(#REF!,"AAAAAHJ2f74=")</f>
        <v>#REF!</v>
      </c>
      <c r="GJ8" t="e">
        <f>AND(#REF!,"AAAAAHJ2f78=")</f>
        <v>#REF!</v>
      </c>
      <c r="GK8" t="e">
        <f>AND(#REF!,"AAAAAHJ2f8A=")</f>
        <v>#REF!</v>
      </c>
      <c r="GL8" t="e">
        <f>AND(#REF!,"AAAAAHJ2f8E=")</f>
        <v>#REF!</v>
      </c>
      <c r="GM8" t="e">
        <f>AND(#REF!,"AAAAAHJ2f8I=")</f>
        <v>#REF!</v>
      </c>
      <c r="GN8" t="e">
        <f>AND(#REF!,"AAAAAHJ2f8M=")</f>
        <v>#REF!</v>
      </c>
      <c r="GO8" t="e">
        <f>AND(#REF!,"AAAAAHJ2f8Q=")</f>
        <v>#REF!</v>
      </c>
      <c r="GP8" t="e">
        <f>AND(#REF!,"AAAAAHJ2f8U=")</f>
        <v>#REF!</v>
      </c>
      <c r="GQ8" t="e">
        <f>AND(#REF!,"AAAAAHJ2f8Y=")</f>
        <v>#REF!</v>
      </c>
      <c r="GR8" t="e">
        <f>AND(#REF!,"AAAAAHJ2f8c=")</f>
        <v>#REF!</v>
      </c>
      <c r="GS8" t="e">
        <f>AND(#REF!,"AAAAAHJ2f8g=")</f>
        <v>#REF!</v>
      </c>
      <c r="GT8" t="e">
        <f>IF(#REF!,"AAAAAHJ2f8k=",0)</f>
        <v>#REF!</v>
      </c>
      <c r="GU8" t="e">
        <f>AND(#REF!,"AAAAAHJ2f8o=")</f>
        <v>#REF!</v>
      </c>
      <c r="GV8" t="e">
        <f>AND(#REF!,"AAAAAHJ2f8s=")</f>
        <v>#REF!</v>
      </c>
      <c r="GW8" t="e">
        <f>AND(#REF!,"AAAAAHJ2f8w=")</f>
        <v>#REF!</v>
      </c>
      <c r="GX8" t="e">
        <f>AND(#REF!,"AAAAAHJ2f80=")</f>
        <v>#REF!</v>
      </c>
      <c r="GY8" t="e">
        <f>AND(#REF!,"AAAAAHJ2f84=")</f>
        <v>#REF!</v>
      </c>
      <c r="GZ8" t="e">
        <f>AND(#REF!,"AAAAAHJ2f88=")</f>
        <v>#REF!</v>
      </c>
      <c r="HA8" t="e">
        <f>AND(#REF!,"AAAAAHJ2f9A=")</f>
        <v>#REF!</v>
      </c>
      <c r="HB8" t="e">
        <f>AND(#REF!,"AAAAAHJ2f9E=")</f>
        <v>#REF!</v>
      </c>
      <c r="HC8" t="e">
        <f>AND(#REF!,"AAAAAHJ2f9I=")</f>
        <v>#REF!</v>
      </c>
      <c r="HD8" t="e">
        <f>AND(#REF!,"AAAAAHJ2f9M=")</f>
        <v>#REF!</v>
      </c>
      <c r="HE8" t="e">
        <f>AND(#REF!,"AAAAAHJ2f9Q=")</f>
        <v>#REF!</v>
      </c>
      <c r="HF8" t="e">
        <f>AND(#REF!,"AAAAAHJ2f9U=")</f>
        <v>#REF!</v>
      </c>
      <c r="HG8" t="e">
        <f>IF(#REF!,"AAAAAHJ2f9Y=",0)</f>
        <v>#REF!</v>
      </c>
      <c r="HH8" t="e">
        <f>AND(#REF!,"AAAAAHJ2f9c=")</f>
        <v>#REF!</v>
      </c>
      <c r="HI8" t="e">
        <f>AND(#REF!,"AAAAAHJ2f9g=")</f>
        <v>#REF!</v>
      </c>
      <c r="HJ8" t="e">
        <f>AND(#REF!,"AAAAAHJ2f9k=")</f>
        <v>#REF!</v>
      </c>
      <c r="HK8" t="e">
        <f>AND(#REF!,"AAAAAHJ2f9o=")</f>
        <v>#REF!</v>
      </c>
      <c r="HL8" t="e">
        <f>AND(#REF!,"AAAAAHJ2f9s=")</f>
        <v>#REF!</v>
      </c>
      <c r="HM8" t="e">
        <f>AND(#REF!,"AAAAAHJ2f9w=")</f>
        <v>#REF!</v>
      </c>
      <c r="HN8" t="e">
        <f>AND(#REF!,"AAAAAHJ2f90=")</f>
        <v>#REF!</v>
      </c>
      <c r="HO8" t="e">
        <f>AND(#REF!,"AAAAAHJ2f94=")</f>
        <v>#REF!</v>
      </c>
      <c r="HP8" t="e">
        <f>AND(#REF!,"AAAAAHJ2f98=")</f>
        <v>#REF!</v>
      </c>
      <c r="HQ8" t="e">
        <f>AND(#REF!,"AAAAAHJ2f+A=")</f>
        <v>#REF!</v>
      </c>
      <c r="HR8" t="e">
        <f>AND(#REF!,"AAAAAHJ2f+E=")</f>
        <v>#REF!</v>
      </c>
      <c r="HS8" t="e">
        <f>AND(#REF!,"AAAAAHJ2f+I=")</f>
        <v>#REF!</v>
      </c>
      <c r="HT8" t="e">
        <f>IF(#REF!,"AAAAAHJ2f+M=",0)</f>
        <v>#REF!</v>
      </c>
      <c r="HU8" t="e">
        <f>AND(#REF!,"AAAAAHJ2f+Q=")</f>
        <v>#REF!</v>
      </c>
      <c r="HV8" t="e">
        <f>AND(#REF!,"AAAAAHJ2f+U=")</f>
        <v>#REF!</v>
      </c>
      <c r="HW8" t="e">
        <f>AND(#REF!,"AAAAAHJ2f+Y=")</f>
        <v>#REF!</v>
      </c>
      <c r="HX8" t="e">
        <f>AND(#REF!,"AAAAAHJ2f+c=")</f>
        <v>#REF!</v>
      </c>
      <c r="HY8" t="e">
        <f>AND(#REF!,"AAAAAHJ2f+g=")</f>
        <v>#REF!</v>
      </c>
      <c r="HZ8" t="e">
        <f>AND(#REF!,"AAAAAHJ2f+k=")</f>
        <v>#REF!</v>
      </c>
      <c r="IA8" t="e">
        <f>AND(#REF!,"AAAAAHJ2f+o=")</f>
        <v>#REF!</v>
      </c>
      <c r="IB8" t="e">
        <f>AND(#REF!,"AAAAAHJ2f+s=")</f>
        <v>#REF!</v>
      </c>
      <c r="IC8" t="e">
        <f>AND(#REF!,"AAAAAHJ2f+w=")</f>
        <v>#REF!</v>
      </c>
      <c r="ID8" t="e">
        <f>AND(#REF!,"AAAAAHJ2f+0=")</f>
        <v>#REF!</v>
      </c>
      <c r="IE8" t="e">
        <f>AND(#REF!,"AAAAAHJ2f+4=")</f>
        <v>#REF!</v>
      </c>
      <c r="IF8" t="e">
        <f>AND(#REF!,"AAAAAHJ2f+8=")</f>
        <v>#REF!</v>
      </c>
      <c r="IG8" t="e">
        <f>IF(#REF!,"AAAAAHJ2f/A=",0)</f>
        <v>#REF!</v>
      </c>
      <c r="IH8" t="e">
        <f>AND(#REF!,"AAAAAHJ2f/E=")</f>
        <v>#REF!</v>
      </c>
      <c r="II8" t="e">
        <f>AND(#REF!,"AAAAAHJ2f/I=")</f>
        <v>#REF!</v>
      </c>
      <c r="IJ8" t="e">
        <f>AND(#REF!,"AAAAAHJ2f/M=")</f>
        <v>#REF!</v>
      </c>
      <c r="IK8" t="e">
        <f>AND(#REF!,"AAAAAHJ2f/Q=")</f>
        <v>#REF!</v>
      </c>
      <c r="IL8" t="e">
        <f>AND(#REF!,"AAAAAHJ2f/U=")</f>
        <v>#REF!</v>
      </c>
      <c r="IM8" t="e">
        <f>AND(#REF!,"AAAAAHJ2f/Y=")</f>
        <v>#REF!</v>
      </c>
      <c r="IN8" t="e">
        <f>AND(#REF!,"AAAAAHJ2f/c=")</f>
        <v>#REF!</v>
      </c>
      <c r="IO8" t="e">
        <f>AND(#REF!,"AAAAAHJ2f/g=")</f>
        <v>#REF!</v>
      </c>
      <c r="IP8" t="e">
        <f>AND(#REF!,"AAAAAHJ2f/k=")</f>
        <v>#REF!</v>
      </c>
      <c r="IQ8" t="e">
        <f>AND(#REF!,"AAAAAHJ2f/o=")</f>
        <v>#REF!</v>
      </c>
      <c r="IR8" t="e">
        <f>AND(#REF!,"AAAAAHJ2f/s=")</f>
        <v>#REF!</v>
      </c>
      <c r="IS8" t="e">
        <f>AND(#REF!,"AAAAAHJ2f/w=")</f>
        <v>#REF!</v>
      </c>
      <c r="IT8" t="e">
        <f>IF(#REF!,"AAAAAHJ2f/0=",0)</f>
        <v>#REF!</v>
      </c>
      <c r="IU8" t="e">
        <f>AND(#REF!,"AAAAAHJ2f/4=")</f>
        <v>#REF!</v>
      </c>
      <c r="IV8" t="e">
        <f>AND(#REF!,"AAAAAHJ2f/8=")</f>
        <v>#REF!</v>
      </c>
    </row>
    <row r="9" spans="1:256">
      <c r="A9" t="e">
        <f>AND(#REF!,"AAAAAH9v9gA=")</f>
        <v>#REF!</v>
      </c>
      <c r="B9" t="e">
        <f>AND(#REF!,"AAAAAH9v9gE=")</f>
        <v>#REF!</v>
      </c>
      <c r="C9" t="e">
        <f>AND(#REF!,"AAAAAH9v9gI=")</f>
        <v>#REF!</v>
      </c>
      <c r="D9" t="e">
        <f>AND(#REF!,"AAAAAH9v9gM=")</f>
        <v>#REF!</v>
      </c>
      <c r="E9" t="e">
        <f>AND(#REF!,"AAAAAH9v9gQ=")</f>
        <v>#REF!</v>
      </c>
      <c r="F9" t="e">
        <f>AND(#REF!,"AAAAAH9v9gU=")</f>
        <v>#REF!</v>
      </c>
      <c r="G9" t="e">
        <f>AND(#REF!,"AAAAAH9v9gY=")</f>
        <v>#REF!</v>
      </c>
      <c r="H9" t="e">
        <f>AND(#REF!,"AAAAAH9v9gc=")</f>
        <v>#REF!</v>
      </c>
      <c r="I9" t="e">
        <f>AND(#REF!,"AAAAAH9v9gg=")</f>
        <v>#REF!</v>
      </c>
      <c r="J9" t="e">
        <f>AND(#REF!,"AAAAAH9v9gk=")</f>
        <v>#REF!</v>
      </c>
      <c r="K9" t="e">
        <f>IF(#REF!,"AAAAAH9v9go=",0)</f>
        <v>#REF!</v>
      </c>
      <c r="L9" t="e">
        <f>AND(#REF!,"AAAAAH9v9gs=")</f>
        <v>#REF!</v>
      </c>
      <c r="M9" t="e">
        <f>AND(#REF!,"AAAAAH9v9gw=")</f>
        <v>#REF!</v>
      </c>
      <c r="N9" t="e">
        <f>AND(#REF!,"AAAAAH9v9g0=")</f>
        <v>#REF!</v>
      </c>
      <c r="O9" t="e">
        <f>AND(#REF!,"AAAAAH9v9g4=")</f>
        <v>#REF!</v>
      </c>
      <c r="P9" t="e">
        <f>AND(#REF!,"AAAAAH9v9g8=")</f>
        <v>#REF!</v>
      </c>
      <c r="Q9" t="e">
        <f>AND(#REF!,"AAAAAH9v9hA=")</f>
        <v>#REF!</v>
      </c>
      <c r="R9" t="e">
        <f>AND(#REF!,"AAAAAH9v9hE=")</f>
        <v>#REF!</v>
      </c>
      <c r="S9" t="e">
        <f>AND(#REF!,"AAAAAH9v9hI=")</f>
        <v>#REF!</v>
      </c>
      <c r="T9" t="e">
        <f>AND(#REF!,"AAAAAH9v9hM=")</f>
        <v>#REF!</v>
      </c>
      <c r="U9" t="e">
        <f>AND(#REF!,"AAAAAH9v9hQ=")</f>
        <v>#REF!</v>
      </c>
      <c r="V9" t="e">
        <f>AND(#REF!,"AAAAAH9v9hU=")</f>
        <v>#REF!</v>
      </c>
      <c r="W9" t="e">
        <f>AND(#REF!,"AAAAAH9v9hY=")</f>
        <v>#REF!</v>
      </c>
      <c r="X9" t="e">
        <f>IF(#REF!,"AAAAAH9v9hc=",0)</f>
        <v>#REF!</v>
      </c>
      <c r="Y9" t="e">
        <f>AND(#REF!,"AAAAAH9v9hg=")</f>
        <v>#REF!</v>
      </c>
      <c r="Z9" t="e">
        <f>AND(#REF!,"AAAAAH9v9hk=")</f>
        <v>#REF!</v>
      </c>
      <c r="AA9" t="e">
        <f>AND(#REF!,"AAAAAH9v9ho=")</f>
        <v>#REF!</v>
      </c>
      <c r="AB9" t="e">
        <f>AND(#REF!,"AAAAAH9v9hs=")</f>
        <v>#REF!</v>
      </c>
      <c r="AC9" t="e">
        <f>AND(#REF!,"AAAAAH9v9hw=")</f>
        <v>#REF!</v>
      </c>
      <c r="AD9" t="e">
        <f>AND(#REF!,"AAAAAH9v9h0=")</f>
        <v>#REF!</v>
      </c>
      <c r="AE9" t="e">
        <f>AND(#REF!,"AAAAAH9v9h4=")</f>
        <v>#REF!</v>
      </c>
      <c r="AF9" t="e">
        <f>AND(#REF!,"AAAAAH9v9h8=")</f>
        <v>#REF!</v>
      </c>
      <c r="AG9" t="e">
        <f>AND(#REF!,"AAAAAH9v9iA=")</f>
        <v>#REF!</v>
      </c>
      <c r="AH9" t="e">
        <f>AND(#REF!,"AAAAAH9v9iE=")</f>
        <v>#REF!</v>
      </c>
      <c r="AI9" t="e">
        <f>AND(#REF!,"AAAAAH9v9iI=")</f>
        <v>#REF!</v>
      </c>
      <c r="AJ9" t="e">
        <f>AND(#REF!,"AAAAAH9v9iM=")</f>
        <v>#REF!</v>
      </c>
      <c r="AK9" t="e">
        <f>IF(#REF!,"AAAAAH9v9iQ=",0)</f>
        <v>#REF!</v>
      </c>
      <c r="AL9" t="e">
        <f>AND(#REF!,"AAAAAH9v9iU=")</f>
        <v>#REF!</v>
      </c>
      <c r="AM9" t="e">
        <f>AND(#REF!,"AAAAAH9v9iY=")</f>
        <v>#REF!</v>
      </c>
      <c r="AN9" t="e">
        <f>AND(#REF!,"AAAAAH9v9ic=")</f>
        <v>#REF!</v>
      </c>
      <c r="AO9" t="e">
        <f>AND(#REF!,"AAAAAH9v9ig=")</f>
        <v>#REF!</v>
      </c>
      <c r="AP9" t="e">
        <f>AND(#REF!,"AAAAAH9v9ik=")</f>
        <v>#REF!</v>
      </c>
      <c r="AQ9" t="e">
        <f>AND(#REF!,"AAAAAH9v9io=")</f>
        <v>#REF!</v>
      </c>
      <c r="AR9" t="e">
        <f>AND(#REF!,"AAAAAH9v9is=")</f>
        <v>#REF!</v>
      </c>
      <c r="AS9" t="e">
        <f>AND(#REF!,"AAAAAH9v9iw=")</f>
        <v>#REF!</v>
      </c>
      <c r="AT9" t="e">
        <f>AND(#REF!,"AAAAAH9v9i0=")</f>
        <v>#REF!</v>
      </c>
      <c r="AU9" t="e">
        <f>AND(#REF!,"AAAAAH9v9i4=")</f>
        <v>#REF!</v>
      </c>
      <c r="AV9" t="e">
        <f>AND(#REF!,"AAAAAH9v9i8=")</f>
        <v>#REF!</v>
      </c>
      <c r="AW9" t="e">
        <f>AND(#REF!,"AAAAAH9v9jA=")</f>
        <v>#REF!</v>
      </c>
      <c r="AX9" t="e">
        <f>IF(#REF!,"AAAAAH9v9jE=",0)</f>
        <v>#REF!</v>
      </c>
      <c r="AY9" t="e">
        <f>AND(#REF!,"AAAAAH9v9jI=")</f>
        <v>#REF!</v>
      </c>
      <c r="AZ9" t="e">
        <f>AND(#REF!,"AAAAAH9v9jM=")</f>
        <v>#REF!</v>
      </c>
      <c r="BA9" t="e">
        <f>AND(#REF!,"AAAAAH9v9jQ=")</f>
        <v>#REF!</v>
      </c>
      <c r="BB9" t="e">
        <f>AND(#REF!,"AAAAAH9v9jU=")</f>
        <v>#REF!</v>
      </c>
      <c r="BC9" t="e">
        <f>AND(#REF!,"AAAAAH9v9jY=")</f>
        <v>#REF!</v>
      </c>
      <c r="BD9" t="e">
        <f>AND(#REF!,"AAAAAH9v9jc=")</f>
        <v>#REF!</v>
      </c>
      <c r="BE9" t="e">
        <f>AND(#REF!,"AAAAAH9v9jg=")</f>
        <v>#REF!</v>
      </c>
      <c r="BF9" t="e">
        <f>AND(#REF!,"AAAAAH9v9jk=")</f>
        <v>#REF!</v>
      </c>
      <c r="BG9" t="e">
        <f>AND(#REF!,"AAAAAH9v9jo=")</f>
        <v>#REF!</v>
      </c>
      <c r="BH9" t="e">
        <f>AND(#REF!,"AAAAAH9v9js=")</f>
        <v>#REF!</v>
      </c>
      <c r="BI9" t="e">
        <f>AND(#REF!,"AAAAAH9v9jw=")</f>
        <v>#REF!</v>
      </c>
      <c r="BJ9" t="e">
        <f>AND(#REF!,"AAAAAH9v9j0=")</f>
        <v>#REF!</v>
      </c>
      <c r="BK9" t="e">
        <f>IF(#REF!,"AAAAAH9v9j4=",0)</f>
        <v>#REF!</v>
      </c>
      <c r="BL9" t="e">
        <f>AND(#REF!,"AAAAAH9v9j8=")</f>
        <v>#REF!</v>
      </c>
      <c r="BM9" t="e">
        <f>AND(#REF!,"AAAAAH9v9kA=")</f>
        <v>#REF!</v>
      </c>
      <c r="BN9" t="e">
        <f>AND(#REF!,"AAAAAH9v9kE=")</f>
        <v>#REF!</v>
      </c>
      <c r="BO9" t="e">
        <f>AND(#REF!,"AAAAAH9v9kI=")</f>
        <v>#REF!</v>
      </c>
      <c r="BP9" t="e">
        <f>AND(#REF!,"AAAAAH9v9kM=")</f>
        <v>#REF!</v>
      </c>
      <c r="BQ9" t="e">
        <f>AND(#REF!,"AAAAAH9v9kQ=")</f>
        <v>#REF!</v>
      </c>
      <c r="BR9" t="e">
        <f>AND(#REF!,"AAAAAH9v9kU=")</f>
        <v>#REF!</v>
      </c>
      <c r="BS9" t="e">
        <f>AND(#REF!,"AAAAAH9v9kY=")</f>
        <v>#REF!</v>
      </c>
      <c r="BT9" t="e">
        <f>AND(#REF!,"AAAAAH9v9kc=")</f>
        <v>#REF!</v>
      </c>
      <c r="BU9" t="e">
        <f>AND(#REF!,"AAAAAH9v9kg=")</f>
        <v>#REF!</v>
      </c>
      <c r="BV9" t="e">
        <f>AND(#REF!,"AAAAAH9v9kk=")</f>
        <v>#REF!</v>
      </c>
      <c r="BW9" t="e">
        <f>AND(#REF!,"AAAAAH9v9ko=")</f>
        <v>#REF!</v>
      </c>
      <c r="BX9" t="e">
        <f>IF(#REF!,"AAAAAH9v9ks=",0)</f>
        <v>#REF!</v>
      </c>
      <c r="BY9" t="e">
        <f>AND(#REF!,"AAAAAH9v9kw=")</f>
        <v>#REF!</v>
      </c>
      <c r="BZ9" t="e">
        <f>AND(#REF!,"AAAAAH9v9k0=")</f>
        <v>#REF!</v>
      </c>
      <c r="CA9" t="e">
        <f>AND(#REF!,"AAAAAH9v9k4=")</f>
        <v>#REF!</v>
      </c>
      <c r="CB9" t="e">
        <f>AND(#REF!,"AAAAAH9v9k8=")</f>
        <v>#REF!</v>
      </c>
      <c r="CC9" t="e">
        <f>AND(#REF!,"AAAAAH9v9lA=")</f>
        <v>#REF!</v>
      </c>
      <c r="CD9" t="e">
        <f>AND(#REF!,"AAAAAH9v9lE=")</f>
        <v>#REF!</v>
      </c>
      <c r="CE9" t="e">
        <f>AND(#REF!,"AAAAAH9v9lI=")</f>
        <v>#REF!</v>
      </c>
      <c r="CF9" t="e">
        <f>AND(#REF!,"AAAAAH9v9lM=")</f>
        <v>#REF!</v>
      </c>
      <c r="CG9" t="e">
        <f>AND(#REF!,"AAAAAH9v9lQ=")</f>
        <v>#REF!</v>
      </c>
      <c r="CH9" t="e">
        <f>AND(#REF!,"AAAAAH9v9lU=")</f>
        <v>#REF!</v>
      </c>
      <c r="CI9" t="e">
        <f>AND(#REF!,"AAAAAH9v9lY=")</f>
        <v>#REF!</v>
      </c>
      <c r="CJ9" t="e">
        <f>AND(#REF!,"AAAAAH9v9lc=")</f>
        <v>#REF!</v>
      </c>
      <c r="CK9" t="e">
        <f>IF(#REF!,"AAAAAH9v9lg=",0)</f>
        <v>#REF!</v>
      </c>
      <c r="CL9" t="e">
        <f>AND(#REF!,"AAAAAH9v9lk=")</f>
        <v>#REF!</v>
      </c>
      <c r="CM9" t="e">
        <f>AND(#REF!,"AAAAAH9v9lo=")</f>
        <v>#REF!</v>
      </c>
      <c r="CN9" t="e">
        <f>AND(#REF!,"AAAAAH9v9ls=")</f>
        <v>#REF!</v>
      </c>
      <c r="CO9" t="e">
        <f>AND(#REF!,"AAAAAH9v9lw=")</f>
        <v>#REF!</v>
      </c>
      <c r="CP9" t="e">
        <f>AND(#REF!,"AAAAAH9v9l0=")</f>
        <v>#REF!</v>
      </c>
      <c r="CQ9" t="e">
        <f>AND(#REF!,"AAAAAH9v9l4=")</f>
        <v>#REF!</v>
      </c>
      <c r="CR9" t="e">
        <f>AND(#REF!,"AAAAAH9v9l8=")</f>
        <v>#REF!</v>
      </c>
      <c r="CS9" t="e">
        <f>AND(#REF!,"AAAAAH9v9mA=")</f>
        <v>#REF!</v>
      </c>
      <c r="CT9" t="e">
        <f>AND(#REF!,"AAAAAH9v9mE=")</f>
        <v>#REF!</v>
      </c>
      <c r="CU9" t="e">
        <f>AND(#REF!,"AAAAAH9v9mI=")</f>
        <v>#REF!</v>
      </c>
      <c r="CV9" t="e">
        <f>AND(#REF!,"AAAAAH9v9mM=")</f>
        <v>#REF!</v>
      </c>
      <c r="CW9" t="e">
        <f>AND(#REF!,"AAAAAH9v9mQ=")</f>
        <v>#REF!</v>
      </c>
      <c r="CX9" t="e">
        <f>IF(#REF!,"AAAAAH9v9mU=",0)</f>
        <v>#REF!</v>
      </c>
      <c r="CY9" t="e">
        <f>AND(#REF!,"AAAAAH9v9mY=")</f>
        <v>#REF!</v>
      </c>
      <c r="CZ9" t="e">
        <f>AND(#REF!,"AAAAAH9v9mc=")</f>
        <v>#REF!</v>
      </c>
      <c r="DA9" t="e">
        <f>AND(#REF!,"AAAAAH9v9mg=")</f>
        <v>#REF!</v>
      </c>
      <c r="DB9" t="e">
        <f>AND(#REF!,"AAAAAH9v9mk=")</f>
        <v>#REF!</v>
      </c>
      <c r="DC9" t="e">
        <f>AND(#REF!,"AAAAAH9v9mo=")</f>
        <v>#REF!</v>
      </c>
      <c r="DD9" t="e">
        <f>AND(#REF!,"AAAAAH9v9ms=")</f>
        <v>#REF!</v>
      </c>
      <c r="DE9" t="e">
        <f>AND(#REF!,"AAAAAH9v9mw=")</f>
        <v>#REF!</v>
      </c>
      <c r="DF9" t="e">
        <f>AND(#REF!,"AAAAAH9v9m0=")</f>
        <v>#REF!</v>
      </c>
      <c r="DG9" t="e">
        <f>AND(#REF!,"AAAAAH9v9m4=")</f>
        <v>#REF!</v>
      </c>
      <c r="DH9" t="e">
        <f>AND(#REF!,"AAAAAH9v9m8=")</f>
        <v>#REF!</v>
      </c>
      <c r="DI9" t="e">
        <f>AND(#REF!,"AAAAAH9v9nA=")</f>
        <v>#REF!</v>
      </c>
      <c r="DJ9" t="e">
        <f>AND(#REF!,"AAAAAH9v9nE=")</f>
        <v>#REF!</v>
      </c>
      <c r="DK9" t="e">
        <f>IF(#REF!,"AAAAAH9v9nI=",0)</f>
        <v>#REF!</v>
      </c>
      <c r="DL9" t="e">
        <f>AND(#REF!,"AAAAAH9v9nM=")</f>
        <v>#REF!</v>
      </c>
      <c r="DM9" t="e">
        <f>AND(#REF!,"AAAAAH9v9nQ=")</f>
        <v>#REF!</v>
      </c>
      <c r="DN9" t="e">
        <f>AND(#REF!,"AAAAAH9v9nU=")</f>
        <v>#REF!</v>
      </c>
      <c r="DO9" t="e">
        <f>AND(#REF!,"AAAAAH9v9nY=")</f>
        <v>#REF!</v>
      </c>
      <c r="DP9" t="e">
        <f>AND(#REF!,"AAAAAH9v9nc=")</f>
        <v>#REF!</v>
      </c>
      <c r="DQ9" t="e">
        <f>AND(#REF!,"AAAAAH9v9ng=")</f>
        <v>#REF!</v>
      </c>
      <c r="DR9" t="e">
        <f>AND(#REF!,"AAAAAH9v9nk=")</f>
        <v>#REF!</v>
      </c>
      <c r="DS9" t="e">
        <f>AND(#REF!,"AAAAAH9v9no=")</f>
        <v>#REF!</v>
      </c>
      <c r="DT9" t="e">
        <f>AND(#REF!,"AAAAAH9v9ns=")</f>
        <v>#REF!</v>
      </c>
      <c r="DU9" t="e">
        <f>AND(#REF!,"AAAAAH9v9nw=")</f>
        <v>#REF!</v>
      </c>
      <c r="DV9" t="e">
        <f>AND(#REF!,"AAAAAH9v9n0=")</f>
        <v>#REF!</v>
      </c>
      <c r="DW9" t="e">
        <f>AND(#REF!,"AAAAAH9v9n4=")</f>
        <v>#REF!</v>
      </c>
      <c r="DX9" t="e">
        <f>IF(#REF!,"AAAAAH9v9n8=",0)</f>
        <v>#REF!</v>
      </c>
      <c r="DY9" t="e">
        <f>AND(#REF!,"AAAAAH9v9oA=")</f>
        <v>#REF!</v>
      </c>
      <c r="DZ9" t="e">
        <f>AND(#REF!,"AAAAAH9v9oE=")</f>
        <v>#REF!</v>
      </c>
      <c r="EA9" t="e">
        <f>AND(#REF!,"AAAAAH9v9oI=")</f>
        <v>#REF!</v>
      </c>
      <c r="EB9" t="e">
        <f>AND(#REF!,"AAAAAH9v9oM=")</f>
        <v>#REF!</v>
      </c>
      <c r="EC9" t="e">
        <f>AND(#REF!,"AAAAAH9v9oQ=")</f>
        <v>#REF!</v>
      </c>
      <c r="ED9" t="e">
        <f>AND(#REF!,"AAAAAH9v9oU=")</f>
        <v>#REF!</v>
      </c>
      <c r="EE9" t="e">
        <f>AND(#REF!,"AAAAAH9v9oY=")</f>
        <v>#REF!</v>
      </c>
      <c r="EF9" t="e">
        <f>AND(#REF!,"AAAAAH9v9oc=")</f>
        <v>#REF!</v>
      </c>
      <c r="EG9" t="e">
        <f>AND(#REF!,"AAAAAH9v9og=")</f>
        <v>#REF!</v>
      </c>
      <c r="EH9" t="e">
        <f>AND(#REF!,"AAAAAH9v9ok=")</f>
        <v>#REF!</v>
      </c>
      <c r="EI9" t="e">
        <f>AND(#REF!,"AAAAAH9v9oo=")</f>
        <v>#REF!</v>
      </c>
      <c r="EJ9" t="e">
        <f>AND(#REF!,"AAAAAH9v9os=")</f>
        <v>#REF!</v>
      </c>
      <c r="EK9" t="e">
        <f>IF(#REF!,"AAAAAH9v9ow=",0)</f>
        <v>#REF!</v>
      </c>
      <c r="EL9" t="e">
        <f>AND(#REF!,"AAAAAH9v9o0=")</f>
        <v>#REF!</v>
      </c>
      <c r="EM9" t="e">
        <f>AND(#REF!,"AAAAAH9v9o4=")</f>
        <v>#REF!</v>
      </c>
      <c r="EN9" t="e">
        <f>AND(#REF!,"AAAAAH9v9o8=")</f>
        <v>#REF!</v>
      </c>
      <c r="EO9" t="e">
        <f>AND(#REF!,"AAAAAH9v9pA=")</f>
        <v>#REF!</v>
      </c>
      <c r="EP9" t="e">
        <f>AND(#REF!,"AAAAAH9v9pE=")</f>
        <v>#REF!</v>
      </c>
      <c r="EQ9" t="e">
        <f>AND(#REF!,"AAAAAH9v9pI=")</f>
        <v>#REF!</v>
      </c>
      <c r="ER9" t="e">
        <f>AND(#REF!,"AAAAAH9v9pM=")</f>
        <v>#REF!</v>
      </c>
      <c r="ES9" t="e">
        <f>AND(#REF!,"AAAAAH9v9pQ=")</f>
        <v>#REF!</v>
      </c>
      <c r="ET9" t="e">
        <f>AND(#REF!,"AAAAAH9v9pU=")</f>
        <v>#REF!</v>
      </c>
      <c r="EU9" t="e">
        <f>AND(#REF!,"AAAAAH9v9pY=")</f>
        <v>#REF!</v>
      </c>
      <c r="EV9" t="e">
        <f>AND(#REF!,"AAAAAH9v9pc=")</f>
        <v>#REF!</v>
      </c>
      <c r="EW9" t="e">
        <f>AND(#REF!,"AAAAAH9v9pg=")</f>
        <v>#REF!</v>
      </c>
      <c r="EX9" t="e">
        <f>IF(#REF!,"AAAAAH9v9pk=",0)</f>
        <v>#REF!</v>
      </c>
      <c r="EY9" t="e">
        <f>AND(#REF!,"AAAAAH9v9po=")</f>
        <v>#REF!</v>
      </c>
      <c r="EZ9" t="e">
        <f>AND(#REF!,"AAAAAH9v9ps=")</f>
        <v>#REF!</v>
      </c>
      <c r="FA9" t="e">
        <f>AND(#REF!,"AAAAAH9v9pw=")</f>
        <v>#REF!</v>
      </c>
      <c r="FB9" t="e">
        <f>AND(#REF!,"AAAAAH9v9p0=")</f>
        <v>#REF!</v>
      </c>
      <c r="FC9" t="e">
        <f>AND(#REF!,"AAAAAH9v9p4=")</f>
        <v>#REF!</v>
      </c>
      <c r="FD9" t="e">
        <f>AND(#REF!,"AAAAAH9v9p8=")</f>
        <v>#REF!</v>
      </c>
      <c r="FE9" t="e">
        <f>AND(#REF!,"AAAAAH9v9qA=")</f>
        <v>#REF!</v>
      </c>
      <c r="FF9" t="e">
        <f>AND(#REF!,"AAAAAH9v9qE=")</f>
        <v>#REF!</v>
      </c>
      <c r="FG9" t="e">
        <f>AND(#REF!,"AAAAAH9v9qI=")</f>
        <v>#REF!</v>
      </c>
      <c r="FH9" t="e">
        <f>AND(#REF!,"AAAAAH9v9qM=")</f>
        <v>#REF!</v>
      </c>
      <c r="FI9" t="e">
        <f>AND(#REF!,"AAAAAH9v9qQ=")</f>
        <v>#REF!</v>
      </c>
      <c r="FJ9" t="e">
        <f>AND(#REF!,"AAAAAH9v9qU=")</f>
        <v>#REF!</v>
      </c>
      <c r="FK9" t="e">
        <f>IF(#REF!,"AAAAAH9v9qY=",0)</f>
        <v>#REF!</v>
      </c>
      <c r="FL9" t="e">
        <f>AND(#REF!,"AAAAAH9v9qc=")</f>
        <v>#REF!</v>
      </c>
      <c r="FM9" t="e">
        <f>AND(#REF!,"AAAAAH9v9qg=")</f>
        <v>#REF!</v>
      </c>
      <c r="FN9" t="e">
        <f>AND(#REF!,"AAAAAH9v9qk=")</f>
        <v>#REF!</v>
      </c>
      <c r="FO9" t="e">
        <f>AND(#REF!,"AAAAAH9v9qo=")</f>
        <v>#REF!</v>
      </c>
      <c r="FP9" t="e">
        <f>AND(#REF!,"AAAAAH9v9qs=")</f>
        <v>#REF!</v>
      </c>
      <c r="FQ9" t="e">
        <f>AND(#REF!,"AAAAAH9v9qw=")</f>
        <v>#REF!</v>
      </c>
      <c r="FR9" t="e">
        <f>AND(#REF!,"AAAAAH9v9q0=")</f>
        <v>#REF!</v>
      </c>
      <c r="FS9" t="e">
        <f>AND(#REF!,"AAAAAH9v9q4=")</f>
        <v>#REF!</v>
      </c>
      <c r="FT9" t="e">
        <f>AND(#REF!,"AAAAAH9v9q8=")</f>
        <v>#REF!</v>
      </c>
      <c r="FU9" t="e">
        <f>AND(#REF!,"AAAAAH9v9rA=")</f>
        <v>#REF!</v>
      </c>
      <c r="FV9" t="e">
        <f>AND(#REF!,"AAAAAH9v9rE=")</f>
        <v>#REF!</v>
      </c>
      <c r="FW9" t="e">
        <f>AND(#REF!,"AAAAAH9v9rI=")</f>
        <v>#REF!</v>
      </c>
      <c r="FX9" t="e">
        <f>IF(#REF!,"AAAAAH9v9rM=",0)</f>
        <v>#REF!</v>
      </c>
      <c r="FY9" t="e">
        <f>AND(#REF!,"AAAAAH9v9rQ=")</f>
        <v>#REF!</v>
      </c>
      <c r="FZ9" t="e">
        <f>AND(#REF!,"AAAAAH9v9rU=")</f>
        <v>#REF!</v>
      </c>
      <c r="GA9" t="e">
        <f>AND(#REF!,"AAAAAH9v9rY=")</f>
        <v>#REF!</v>
      </c>
      <c r="GB9" t="e">
        <f>AND(#REF!,"AAAAAH9v9rc=")</f>
        <v>#REF!</v>
      </c>
      <c r="GC9" t="e">
        <f>AND(#REF!,"AAAAAH9v9rg=")</f>
        <v>#REF!</v>
      </c>
      <c r="GD9" t="e">
        <f>AND(#REF!,"AAAAAH9v9rk=")</f>
        <v>#REF!</v>
      </c>
      <c r="GE9" t="e">
        <f>AND(#REF!,"AAAAAH9v9ro=")</f>
        <v>#REF!</v>
      </c>
      <c r="GF9" t="e">
        <f>AND(#REF!,"AAAAAH9v9rs=")</f>
        <v>#REF!</v>
      </c>
      <c r="GG9" t="e">
        <f>AND(#REF!,"AAAAAH9v9rw=")</f>
        <v>#REF!</v>
      </c>
      <c r="GH9" t="e">
        <f>AND(#REF!,"AAAAAH9v9r0=")</f>
        <v>#REF!</v>
      </c>
      <c r="GI9" t="e">
        <f>AND(#REF!,"AAAAAH9v9r4=")</f>
        <v>#REF!</v>
      </c>
      <c r="GJ9" t="e">
        <f>AND(#REF!,"AAAAAH9v9r8=")</f>
        <v>#REF!</v>
      </c>
      <c r="GK9" t="e">
        <f>IF(#REF!,"AAAAAH9v9sA=",0)</f>
        <v>#REF!</v>
      </c>
      <c r="GL9" t="e">
        <f>AND(#REF!,"AAAAAH9v9sE=")</f>
        <v>#REF!</v>
      </c>
      <c r="GM9" t="e">
        <f>AND(#REF!,"AAAAAH9v9sI=")</f>
        <v>#REF!</v>
      </c>
      <c r="GN9" t="e">
        <f>AND(#REF!,"AAAAAH9v9sM=")</f>
        <v>#REF!</v>
      </c>
      <c r="GO9" t="e">
        <f>AND(#REF!,"AAAAAH9v9sQ=")</f>
        <v>#REF!</v>
      </c>
      <c r="GP9" t="e">
        <f>AND(#REF!,"AAAAAH9v9sU=")</f>
        <v>#REF!</v>
      </c>
      <c r="GQ9" t="e">
        <f>AND(#REF!,"AAAAAH9v9sY=")</f>
        <v>#REF!</v>
      </c>
      <c r="GR9" t="e">
        <f>AND(#REF!,"AAAAAH9v9sc=")</f>
        <v>#REF!</v>
      </c>
      <c r="GS9" t="e">
        <f>AND(#REF!,"AAAAAH9v9sg=")</f>
        <v>#REF!</v>
      </c>
      <c r="GT9" t="e">
        <f>AND(#REF!,"AAAAAH9v9sk=")</f>
        <v>#REF!</v>
      </c>
      <c r="GU9" t="e">
        <f>AND(#REF!,"AAAAAH9v9so=")</f>
        <v>#REF!</v>
      </c>
      <c r="GV9" t="e">
        <f>AND(#REF!,"AAAAAH9v9ss=")</f>
        <v>#REF!</v>
      </c>
      <c r="GW9" t="e">
        <f>AND(#REF!,"AAAAAH9v9sw=")</f>
        <v>#REF!</v>
      </c>
      <c r="GX9" t="e">
        <f>IF(#REF!,"AAAAAH9v9s0=",0)</f>
        <v>#REF!</v>
      </c>
      <c r="GY9" t="e">
        <f>AND(#REF!,"AAAAAH9v9s4=")</f>
        <v>#REF!</v>
      </c>
      <c r="GZ9" t="e">
        <f>AND(#REF!,"AAAAAH9v9s8=")</f>
        <v>#REF!</v>
      </c>
      <c r="HA9" t="e">
        <f>AND(#REF!,"AAAAAH9v9tA=")</f>
        <v>#REF!</v>
      </c>
      <c r="HB9" t="e">
        <f>AND(#REF!,"AAAAAH9v9tE=")</f>
        <v>#REF!</v>
      </c>
      <c r="HC9" t="e">
        <f>AND(#REF!,"AAAAAH9v9tI=")</f>
        <v>#REF!</v>
      </c>
      <c r="HD9" t="e">
        <f>AND(#REF!,"AAAAAH9v9tM=")</f>
        <v>#REF!</v>
      </c>
      <c r="HE9" t="e">
        <f>AND(#REF!,"AAAAAH9v9tQ=")</f>
        <v>#REF!</v>
      </c>
      <c r="HF9" t="e">
        <f>AND(#REF!,"AAAAAH9v9tU=")</f>
        <v>#REF!</v>
      </c>
      <c r="HG9" t="e">
        <f>AND(#REF!,"AAAAAH9v9tY=")</f>
        <v>#REF!</v>
      </c>
      <c r="HH9" t="e">
        <f>AND(#REF!,"AAAAAH9v9tc=")</f>
        <v>#REF!</v>
      </c>
      <c r="HI9" t="e">
        <f>AND(#REF!,"AAAAAH9v9tg=")</f>
        <v>#REF!</v>
      </c>
      <c r="HJ9" t="e">
        <f>AND(#REF!,"AAAAAH9v9tk=")</f>
        <v>#REF!</v>
      </c>
      <c r="HK9" t="e">
        <f>IF(#REF!,"AAAAAH9v9to=",0)</f>
        <v>#REF!</v>
      </c>
      <c r="HL9" t="e">
        <f>AND(#REF!,"AAAAAH9v9ts=")</f>
        <v>#REF!</v>
      </c>
      <c r="HM9" t="e">
        <f>AND(#REF!,"AAAAAH9v9tw=")</f>
        <v>#REF!</v>
      </c>
      <c r="HN9" t="e">
        <f>AND(#REF!,"AAAAAH9v9t0=")</f>
        <v>#REF!</v>
      </c>
      <c r="HO9" t="e">
        <f>AND(#REF!,"AAAAAH9v9t4=")</f>
        <v>#REF!</v>
      </c>
      <c r="HP9" t="e">
        <f>AND(#REF!,"AAAAAH9v9t8=")</f>
        <v>#REF!</v>
      </c>
      <c r="HQ9" t="e">
        <f>AND(#REF!,"AAAAAH9v9uA=")</f>
        <v>#REF!</v>
      </c>
      <c r="HR9" t="e">
        <f>AND(#REF!,"AAAAAH9v9uE=")</f>
        <v>#REF!</v>
      </c>
      <c r="HS9" t="e">
        <f>AND(#REF!,"AAAAAH9v9uI=")</f>
        <v>#REF!</v>
      </c>
      <c r="HT9" t="e">
        <f>AND(#REF!,"AAAAAH9v9uM=")</f>
        <v>#REF!</v>
      </c>
      <c r="HU9" t="e">
        <f>AND(#REF!,"AAAAAH9v9uQ=")</f>
        <v>#REF!</v>
      </c>
      <c r="HV9" t="e">
        <f>AND(#REF!,"AAAAAH9v9uU=")</f>
        <v>#REF!</v>
      </c>
      <c r="HW9" t="e">
        <f>AND(#REF!,"AAAAAH9v9uY=")</f>
        <v>#REF!</v>
      </c>
      <c r="HX9" t="e">
        <f>IF(#REF!,"AAAAAH9v9uc=",0)</f>
        <v>#REF!</v>
      </c>
      <c r="HY9" t="e">
        <f>AND(#REF!,"AAAAAH9v9ug=")</f>
        <v>#REF!</v>
      </c>
      <c r="HZ9" t="e">
        <f>AND(#REF!,"AAAAAH9v9uk=")</f>
        <v>#REF!</v>
      </c>
      <c r="IA9" t="e">
        <f>AND(#REF!,"AAAAAH9v9uo=")</f>
        <v>#REF!</v>
      </c>
      <c r="IB9" t="e">
        <f>AND(#REF!,"AAAAAH9v9us=")</f>
        <v>#REF!</v>
      </c>
      <c r="IC9" t="e">
        <f>AND(#REF!,"AAAAAH9v9uw=")</f>
        <v>#REF!</v>
      </c>
      <c r="ID9" t="e">
        <f>AND(#REF!,"AAAAAH9v9u0=")</f>
        <v>#REF!</v>
      </c>
      <c r="IE9" t="e">
        <f>AND(#REF!,"AAAAAH9v9u4=")</f>
        <v>#REF!</v>
      </c>
      <c r="IF9" t="e">
        <f>AND(#REF!,"AAAAAH9v9u8=")</f>
        <v>#REF!</v>
      </c>
      <c r="IG9" t="e">
        <f>AND(#REF!,"AAAAAH9v9vA=")</f>
        <v>#REF!</v>
      </c>
      <c r="IH9" t="e">
        <f>AND(#REF!,"AAAAAH9v9vE=")</f>
        <v>#REF!</v>
      </c>
      <c r="II9" t="e">
        <f>AND(#REF!,"AAAAAH9v9vI=")</f>
        <v>#REF!</v>
      </c>
      <c r="IJ9" t="e">
        <f>AND(#REF!,"AAAAAH9v9vM=")</f>
        <v>#REF!</v>
      </c>
      <c r="IK9" t="e">
        <f>IF(#REF!,"AAAAAH9v9vQ=",0)</f>
        <v>#REF!</v>
      </c>
      <c r="IL9" t="e">
        <f>AND(#REF!,"AAAAAH9v9vU=")</f>
        <v>#REF!</v>
      </c>
      <c r="IM9" t="e">
        <f>AND(#REF!,"AAAAAH9v9vY=")</f>
        <v>#REF!</v>
      </c>
      <c r="IN9" t="e">
        <f>AND(#REF!,"AAAAAH9v9vc=")</f>
        <v>#REF!</v>
      </c>
      <c r="IO9" t="e">
        <f>AND(#REF!,"AAAAAH9v9vg=")</f>
        <v>#REF!</v>
      </c>
      <c r="IP9" t="e">
        <f>AND(#REF!,"AAAAAH9v9vk=")</f>
        <v>#REF!</v>
      </c>
      <c r="IQ9" t="e">
        <f>AND(#REF!,"AAAAAH9v9vo=")</f>
        <v>#REF!</v>
      </c>
      <c r="IR9" t="e">
        <f>AND(#REF!,"AAAAAH9v9vs=")</f>
        <v>#REF!</v>
      </c>
      <c r="IS9" t="e">
        <f>AND(#REF!,"AAAAAH9v9vw=")</f>
        <v>#REF!</v>
      </c>
      <c r="IT9" t="e">
        <f>AND(#REF!,"AAAAAH9v9v0=")</f>
        <v>#REF!</v>
      </c>
      <c r="IU9" t="e">
        <f>AND(#REF!,"AAAAAH9v9v4=")</f>
        <v>#REF!</v>
      </c>
      <c r="IV9" t="e">
        <f>AND(#REF!,"AAAAAH9v9v8=")</f>
        <v>#REF!</v>
      </c>
    </row>
    <row r="10" spans="1:256">
      <c r="A10" t="e">
        <f>AND(#REF!,"AAAAAFVXzwA=")</f>
        <v>#REF!</v>
      </c>
      <c r="B10" t="e">
        <f>IF(#REF!,"AAAAAFVXzwE=",0)</f>
        <v>#REF!</v>
      </c>
      <c r="C10" t="e">
        <f>AND(#REF!,"AAAAAFVXzwI=")</f>
        <v>#REF!</v>
      </c>
      <c r="D10" t="e">
        <f>AND(#REF!,"AAAAAFVXzwM=")</f>
        <v>#REF!</v>
      </c>
      <c r="E10" t="e">
        <f>AND(#REF!,"AAAAAFVXzwQ=")</f>
        <v>#REF!</v>
      </c>
      <c r="F10" t="e">
        <f>AND(#REF!,"AAAAAFVXzwU=")</f>
        <v>#REF!</v>
      </c>
      <c r="G10" t="e">
        <f>AND(#REF!,"AAAAAFVXzwY=")</f>
        <v>#REF!</v>
      </c>
      <c r="H10" t="e">
        <f>AND(#REF!,"AAAAAFVXzwc=")</f>
        <v>#REF!</v>
      </c>
      <c r="I10" t="e">
        <f>AND(#REF!,"AAAAAFVXzwg=")</f>
        <v>#REF!</v>
      </c>
      <c r="J10" t="e">
        <f>AND(#REF!,"AAAAAFVXzwk=")</f>
        <v>#REF!</v>
      </c>
      <c r="K10" t="e">
        <f>AND(#REF!,"AAAAAFVXzwo=")</f>
        <v>#REF!</v>
      </c>
      <c r="L10" t="e">
        <f>AND(#REF!,"AAAAAFVXzws=")</f>
        <v>#REF!</v>
      </c>
      <c r="M10" t="e">
        <f>AND(#REF!,"AAAAAFVXzww=")</f>
        <v>#REF!</v>
      </c>
      <c r="N10" t="e">
        <f>AND(#REF!,"AAAAAFVXzw0=")</f>
        <v>#REF!</v>
      </c>
      <c r="O10" t="e">
        <f>IF(#REF!,"AAAAAFVXzw4=",0)</f>
        <v>#REF!</v>
      </c>
      <c r="P10" t="e">
        <f>AND(#REF!,"AAAAAFVXzw8=")</f>
        <v>#REF!</v>
      </c>
      <c r="Q10" t="e">
        <f>AND(#REF!,"AAAAAFVXzxA=")</f>
        <v>#REF!</v>
      </c>
      <c r="R10" t="e">
        <f>AND(#REF!,"AAAAAFVXzxE=")</f>
        <v>#REF!</v>
      </c>
      <c r="S10" t="e">
        <f>AND(#REF!,"AAAAAFVXzxI=")</f>
        <v>#REF!</v>
      </c>
      <c r="T10" t="e">
        <f>AND(#REF!,"AAAAAFVXzxM=")</f>
        <v>#REF!</v>
      </c>
      <c r="U10" t="e">
        <f>AND(#REF!,"AAAAAFVXzxQ=")</f>
        <v>#REF!</v>
      </c>
      <c r="V10" t="e">
        <f>AND(#REF!,"AAAAAFVXzxU=")</f>
        <v>#REF!</v>
      </c>
      <c r="W10" t="e">
        <f>AND(#REF!,"AAAAAFVXzxY=")</f>
        <v>#REF!</v>
      </c>
      <c r="X10" t="e">
        <f>AND(#REF!,"AAAAAFVXzxc=")</f>
        <v>#REF!</v>
      </c>
      <c r="Y10" t="e">
        <f>AND(#REF!,"AAAAAFVXzxg=")</f>
        <v>#REF!</v>
      </c>
      <c r="Z10" t="e">
        <f>AND(#REF!,"AAAAAFVXzxk=")</f>
        <v>#REF!</v>
      </c>
      <c r="AA10" t="e">
        <f>AND(#REF!,"AAAAAFVXzxo=")</f>
        <v>#REF!</v>
      </c>
      <c r="AB10" t="e">
        <f>IF(#REF!,"AAAAAFVXzxs=",0)</f>
        <v>#REF!</v>
      </c>
      <c r="AC10" t="e">
        <f>AND(#REF!,"AAAAAFVXzxw=")</f>
        <v>#REF!</v>
      </c>
      <c r="AD10" t="e">
        <f>AND(#REF!,"AAAAAFVXzx0=")</f>
        <v>#REF!</v>
      </c>
      <c r="AE10" t="e">
        <f>AND(#REF!,"AAAAAFVXzx4=")</f>
        <v>#REF!</v>
      </c>
      <c r="AF10" t="e">
        <f>AND(#REF!,"AAAAAFVXzx8=")</f>
        <v>#REF!</v>
      </c>
      <c r="AG10" t="e">
        <f>AND(#REF!,"AAAAAFVXzyA=")</f>
        <v>#REF!</v>
      </c>
      <c r="AH10" t="e">
        <f>AND(#REF!,"AAAAAFVXzyE=")</f>
        <v>#REF!</v>
      </c>
      <c r="AI10" t="e">
        <f>AND(#REF!,"AAAAAFVXzyI=")</f>
        <v>#REF!</v>
      </c>
      <c r="AJ10" t="e">
        <f>AND(#REF!,"AAAAAFVXzyM=")</f>
        <v>#REF!</v>
      </c>
      <c r="AK10" t="e">
        <f>AND(#REF!,"AAAAAFVXzyQ=")</f>
        <v>#REF!</v>
      </c>
      <c r="AL10" t="e">
        <f>AND(#REF!,"AAAAAFVXzyU=")</f>
        <v>#REF!</v>
      </c>
      <c r="AM10" t="e">
        <f>AND(#REF!,"AAAAAFVXzyY=")</f>
        <v>#REF!</v>
      </c>
      <c r="AN10" t="e">
        <f>AND(#REF!,"AAAAAFVXzyc=")</f>
        <v>#REF!</v>
      </c>
      <c r="AO10" t="e">
        <f>IF(#REF!,"AAAAAFVXzyg=",0)</f>
        <v>#REF!</v>
      </c>
      <c r="AP10" t="e">
        <f>AND(#REF!,"AAAAAFVXzyk=")</f>
        <v>#REF!</v>
      </c>
      <c r="AQ10" t="e">
        <f>AND(#REF!,"AAAAAFVXzyo=")</f>
        <v>#REF!</v>
      </c>
      <c r="AR10" t="e">
        <f>AND(#REF!,"AAAAAFVXzys=")</f>
        <v>#REF!</v>
      </c>
      <c r="AS10" t="e">
        <f>AND(#REF!,"AAAAAFVXzyw=")</f>
        <v>#REF!</v>
      </c>
      <c r="AT10" t="e">
        <f>AND(#REF!,"AAAAAFVXzy0=")</f>
        <v>#REF!</v>
      </c>
      <c r="AU10" t="e">
        <f>AND(#REF!,"AAAAAFVXzy4=")</f>
        <v>#REF!</v>
      </c>
      <c r="AV10" t="e">
        <f>AND(#REF!,"AAAAAFVXzy8=")</f>
        <v>#REF!</v>
      </c>
      <c r="AW10" t="e">
        <f>AND(#REF!,"AAAAAFVXzzA=")</f>
        <v>#REF!</v>
      </c>
      <c r="AX10" t="e">
        <f>AND(#REF!,"AAAAAFVXzzE=")</f>
        <v>#REF!</v>
      </c>
      <c r="AY10" t="e">
        <f>AND(#REF!,"AAAAAFVXzzI=")</f>
        <v>#REF!</v>
      </c>
      <c r="AZ10" t="e">
        <f>AND(#REF!,"AAAAAFVXzzM=")</f>
        <v>#REF!</v>
      </c>
      <c r="BA10" t="e">
        <f>AND(#REF!,"AAAAAFVXzzQ=")</f>
        <v>#REF!</v>
      </c>
      <c r="BB10" t="e">
        <f>IF(#REF!,"AAAAAFVXzzU=",0)</f>
        <v>#REF!</v>
      </c>
      <c r="BC10" t="e">
        <f>AND(#REF!,"AAAAAFVXzzY=")</f>
        <v>#REF!</v>
      </c>
      <c r="BD10" t="e">
        <f>AND(#REF!,"AAAAAFVXzzc=")</f>
        <v>#REF!</v>
      </c>
      <c r="BE10" t="e">
        <f>AND(#REF!,"AAAAAFVXzzg=")</f>
        <v>#REF!</v>
      </c>
      <c r="BF10" t="e">
        <f>AND(#REF!,"AAAAAFVXzzk=")</f>
        <v>#REF!</v>
      </c>
      <c r="BG10" t="e">
        <f>AND(#REF!,"AAAAAFVXzzo=")</f>
        <v>#REF!</v>
      </c>
      <c r="BH10" t="e">
        <f>AND(#REF!,"AAAAAFVXzzs=")</f>
        <v>#REF!</v>
      </c>
      <c r="BI10" t="e">
        <f>AND(#REF!,"AAAAAFVXzzw=")</f>
        <v>#REF!</v>
      </c>
      <c r="BJ10" t="e">
        <f>AND(#REF!,"AAAAAFVXzz0=")</f>
        <v>#REF!</v>
      </c>
      <c r="BK10" t="e">
        <f>AND(#REF!,"AAAAAFVXzz4=")</f>
        <v>#REF!</v>
      </c>
      <c r="BL10" t="e">
        <f>AND(#REF!,"AAAAAFVXzz8=")</f>
        <v>#REF!</v>
      </c>
      <c r="BM10" t="e">
        <f>AND(#REF!,"AAAAAFVXz0A=")</f>
        <v>#REF!</v>
      </c>
      <c r="BN10" t="e">
        <f>AND(#REF!,"AAAAAFVXz0E=")</f>
        <v>#REF!</v>
      </c>
      <c r="BO10" t="e">
        <f>IF(#REF!,"AAAAAFVXz0I=",0)</f>
        <v>#REF!</v>
      </c>
      <c r="BP10" t="e">
        <f>AND(#REF!,"AAAAAFVXz0M=")</f>
        <v>#REF!</v>
      </c>
      <c r="BQ10" t="e">
        <f>AND(#REF!,"AAAAAFVXz0Q=")</f>
        <v>#REF!</v>
      </c>
      <c r="BR10" t="e">
        <f>AND(#REF!,"AAAAAFVXz0U=")</f>
        <v>#REF!</v>
      </c>
      <c r="BS10" t="e">
        <f>AND(#REF!,"AAAAAFVXz0Y=")</f>
        <v>#REF!</v>
      </c>
      <c r="BT10" t="e">
        <f>AND(#REF!,"AAAAAFVXz0c=")</f>
        <v>#REF!</v>
      </c>
      <c r="BU10" t="e">
        <f>AND(#REF!,"AAAAAFVXz0g=")</f>
        <v>#REF!</v>
      </c>
      <c r="BV10" t="e">
        <f>AND(#REF!,"AAAAAFVXz0k=")</f>
        <v>#REF!</v>
      </c>
      <c r="BW10" t="e">
        <f>AND(#REF!,"AAAAAFVXz0o=")</f>
        <v>#REF!</v>
      </c>
      <c r="BX10" t="e">
        <f>AND(#REF!,"AAAAAFVXz0s=")</f>
        <v>#REF!</v>
      </c>
      <c r="BY10" t="e">
        <f>AND(#REF!,"AAAAAFVXz0w=")</f>
        <v>#REF!</v>
      </c>
      <c r="BZ10" t="e">
        <f>AND(#REF!,"AAAAAFVXz00=")</f>
        <v>#REF!</v>
      </c>
      <c r="CA10" t="e">
        <f>AND(#REF!,"AAAAAFVXz04=")</f>
        <v>#REF!</v>
      </c>
      <c r="CB10" t="e">
        <f>IF(#REF!,"AAAAAFVXz08=",0)</f>
        <v>#REF!</v>
      </c>
      <c r="CC10" t="e">
        <f>AND(#REF!,"AAAAAFVXz1A=")</f>
        <v>#REF!</v>
      </c>
      <c r="CD10" t="e">
        <f>AND(#REF!,"AAAAAFVXz1E=")</f>
        <v>#REF!</v>
      </c>
      <c r="CE10" t="e">
        <f>AND(#REF!,"AAAAAFVXz1I=")</f>
        <v>#REF!</v>
      </c>
      <c r="CF10" t="e">
        <f>AND(#REF!,"AAAAAFVXz1M=")</f>
        <v>#REF!</v>
      </c>
      <c r="CG10" t="e">
        <f>AND(#REF!,"AAAAAFVXz1Q=")</f>
        <v>#REF!</v>
      </c>
      <c r="CH10" t="e">
        <f>AND(#REF!,"AAAAAFVXz1U=")</f>
        <v>#REF!</v>
      </c>
      <c r="CI10" t="e">
        <f>AND(#REF!,"AAAAAFVXz1Y=")</f>
        <v>#REF!</v>
      </c>
      <c r="CJ10" t="e">
        <f>AND(#REF!,"AAAAAFVXz1c=")</f>
        <v>#REF!</v>
      </c>
      <c r="CK10" t="e">
        <f>AND(#REF!,"AAAAAFVXz1g=")</f>
        <v>#REF!</v>
      </c>
      <c r="CL10" t="e">
        <f>AND(#REF!,"AAAAAFVXz1k=")</f>
        <v>#REF!</v>
      </c>
      <c r="CM10" t="e">
        <f>AND(#REF!,"AAAAAFVXz1o=")</f>
        <v>#REF!</v>
      </c>
      <c r="CN10" t="e">
        <f>AND(#REF!,"AAAAAFVXz1s=")</f>
        <v>#REF!</v>
      </c>
      <c r="CO10" t="e">
        <f>IF(#REF!,"AAAAAFVXz1w=",0)</f>
        <v>#REF!</v>
      </c>
      <c r="CP10" t="e">
        <f>AND(#REF!,"AAAAAFVXz10=")</f>
        <v>#REF!</v>
      </c>
      <c r="CQ10" t="e">
        <f>AND(#REF!,"AAAAAFVXz14=")</f>
        <v>#REF!</v>
      </c>
      <c r="CR10" t="e">
        <f>AND(#REF!,"AAAAAFVXz18=")</f>
        <v>#REF!</v>
      </c>
      <c r="CS10" t="e">
        <f>AND(#REF!,"AAAAAFVXz2A=")</f>
        <v>#REF!</v>
      </c>
      <c r="CT10" t="e">
        <f>AND(#REF!,"AAAAAFVXz2E=")</f>
        <v>#REF!</v>
      </c>
      <c r="CU10" t="e">
        <f>AND(#REF!,"AAAAAFVXz2I=")</f>
        <v>#REF!</v>
      </c>
      <c r="CV10" t="e">
        <f>AND(#REF!,"AAAAAFVXz2M=")</f>
        <v>#REF!</v>
      </c>
      <c r="CW10" t="e">
        <f>AND(#REF!,"AAAAAFVXz2Q=")</f>
        <v>#REF!</v>
      </c>
      <c r="CX10" t="e">
        <f>AND(#REF!,"AAAAAFVXz2U=")</f>
        <v>#REF!</v>
      </c>
      <c r="CY10" t="e">
        <f>AND(#REF!,"AAAAAFVXz2Y=")</f>
        <v>#REF!</v>
      </c>
      <c r="CZ10" t="e">
        <f>AND(#REF!,"AAAAAFVXz2c=")</f>
        <v>#REF!</v>
      </c>
      <c r="DA10" t="e">
        <f>AND(#REF!,"AAAAAFVXz2g=")</f>
        <v>#REF!</v>
      </c>
      <c r="DB10" t="e">
        <f>IF(#REF!,"AAAAAFVXz2k=",0)</f>
        <v>#REF!</v>
      </c>
      <c r="DC10" t="e">
        <f>AND(#REF!,"AAAAAFVXz2o=")</f>
        <v>#REF!</v>
      </c>
      <c r="DD10" t="e">
        <f>AND(#REF!,"AAAAAFVXz2s=")</f>
        <v>#REF!</v>
      </c>
      <c r="DE10" t="e">
        <f>AND(#REF!,"AAAAAFVXz2w=")</f>
        <v>#REF!</v>
      </c>
      <c r="DF10" t="e">
        <f>AND(#REF!,"AAAAAFVXz20=")</f>
        <v>#REF!</v>
      </c>
      <c r="DG10" t="e">
        <f>AND(#REF!,"AAAAAFVXz24=")</f>
        <v>#REF!</v>
      </c>
      <c r="DH10" t="e">
        <f>AND(#REF!,"AAAAAFVXz28=")</f>
        <v>#REF!</v>
      </c>
      <c r="DI10" t="e">
        <f>AND(#REF!,"AAAAAFVXz3A=")</f>
        <v>#REF!</v>
      </c>
      <c r="DJ10" t="e">
        <f>AND(#REF!,"AAAAAFVXz3E=")</f>
        <v>#REF!</v>
      </c>
      <c r="DK10" t="e">
        <f>AND(#REF!,"AAAAAFVXz3I=")</f>
        <v>#REF!</v>
      </c>
      <c r="DL10" t="e">
        <f>AND(#REF!,"AAAAAFVXz3M=")</f>
        <v>#REF!</v>
      </c>
      <c r="DM10" t="e">
        <f>AND(#REF!,"AAAAAFVXz3Q=")</f>
        <v>#REF!</v>
      </c>
      <c r="DN10" t="e">
        <f>AND(#REF!,"AAAAAFVXz3U=")</f>
        <v>#REF!</v>
      </c>
      <c r="DO10" t="e">
        <f>IF(#REF!,"AAAAAFVXz3Y=",0)</f>
        <v>#REF!</v>
      </c>
      <c r="DP10" t="e">
        <f>AND(#REF!,"AAAAAFVXz3c=")</f>
        <v>#REF!</v>
      </c>
      <c r="DQ10" t="e">
        <f>AND(#REF!,"AAAAAFVXz3g=")</f>
        <v>#REF!</v>
      </c>
      <c r="DR10" t="e">
        <f>AND(#REF!,"AAAAAFVXz3k=")</f>
        <v>#REF!</v>
      </c>
      <c r="DS10" t="e">
        <f>AND(#REF!,"AAAAAFVXz3o=")</f>
        <v>#REF!</v>
      </c>
      <c r="DT10" t="e">
        <f>AND(#REF!,"AAAAAFVXz3s=")</f>
        <v>#REF!</v>
      </c>
      <c r="DU10" t="e">
        <f>AND(#REF!,"AAAAAFVXz3w=")</f>
        <v>#REF!</v>
      </c>
      <c r="DV10" t="e">
        <f>AND(#REF!,"AAAAAFVXz30=")</f>
        <v>#REF!</v>
      </c>
      <c r="DW10" t="e">
        <f>AND(#REF!,"AAAAAFVXz34=")</f>
        <v>#REF!</v>
      </c>
      <c r="DX10" t="e">
        <f>AND(#REF!,"AAAAAFVXz38=")</f>
        <v>#REF!</v>
      </c>
      <c r="DY10" t="e">
        <f>AND(#REF!,"AAAAAFVXz4A=")</f>
        <v>#REF!</v>
      </c>
      <c r="DZ10" t="e">
        <f>AND(#REF!,"AAAAAFVXz4E=")</f>
        <v>#REF!</v>
      </c>
      <c r="EA10" t="e">
        <f>AND(#REF!,"AAAAAFVXz4I=")</f>
        <v>#REF!</v>
      </c>
      <c r="EB10" t="e">
        <f>IF(#REF!,"AAAAAFVXz4M=",0)</f>
        <v>#REF!</v>
      </c>
      <c r="EC10" t="e">
        <f>AND(#REF!,"AAAAAFVXz4Q=")</f>
        <v>#REF!</v>
      </c>
      <c r="ED10" t="e">
        <f>AND(#REF!,"AAAAAFVXz4U=")</f>
        <v>#REF!</v>
      </c>
      <c r="EE10" t="e">
        <f>AND(#REF!,"AAAAAFVXz4Y=")</f>
        <v>#REF!</v>
      </c>
      <c r="EF10" t="e">
        <f>AND(#REF!,"AAAAAFVXz4c=")</f>
        <v>#REF!</v>
      </c>
      <c r="EG10" t="e">
        <f>AND(#REF!,"AAAAAFVXz4g=")</f>
        <v>#REF!</v>
      </c>
      <c r="EH10" t="e">
        <f>AND(#REF!,"AAAAAFVXz4k=")</f>
        <v>#REF!</v>
      </c>
      <c r="EI10" t="e">
        <f>AND(#REF!,"AAAAAFVXz4o=")</f>
        <v>#REF!</v>
      </c>
      <c r="EJ10" t="e">
        <f>AND(#REF!,"AAAAAFVXz4s=")</f>
        <v>#REF!</v>
      </c>
      <c r="EK10" t="e">
        <f>AND(#REF!,"AAAAAFVXz4w=")</f>
        <v>#REF!</v>
      </c>
      <c r="EL10" t="e">
        <f>AND(#REF!,"AAAAAFVXz40=")</f>
        <v>#REF!</v>
      </c>
      <c r="EM10" t="e">
        <f>AND(#REF!,"AAAAAFVXz44=")</f>
        <v>#REF!</v>
      </c>
      <c r="EN10" t="e">
        <f>AND(#REF!,"AAAAAFVXz48=")</f>
        <v>#REF!</v>
      </c>
      <c r="EO10" t="e">
        <f>IF(#REF!,"AAAAAFVXz5A=",0)</f>
        <v>#REF!</v>
      </c>
      <c r="EP10" t="e">
        <f>AND(#REF!,"AAAAAFVXz5E=")</f>
        <v>#REF!</v>
      </c>
      <c r="EQ10" t="e">
        <f>AND(#REF!,"AAAAAFVXz5I=")</f>
        <v>#REF!</v>
      </c>
      <c r="ER10" t="e">
        <f>AND(#REF!,"AAAAAFVXz5M=")</f>
        <v>#REF!</v>
      </c>
      <c r="ES10" t="e">
        <f>AND(#REF!,"AAAAAFVXz5Q=")</f>
        <v>#REF!</v>
      </c>
      <c r="ET10" t="e">
        <f>AND(#REF!,"AAAAAFVXz5U=")</f>
        <v>#REF!</v>
      </c>
      <c r="EU10" t="e">
        <f>AND(#REF!,"AAAAAFVXz5Y=")</f>
        <v>#REF!</v>
      </c>
      <c r="EV10" t="e">
        <f>AND(#REF!,"AAAAAFVXz5c=")</f>
        <v>#REF!</v>
      </c>
      <c r="EW10" t="e">
        <f>AND(#REF!,"AAAAAFVXz5g=")</f>
        <v>#REF!</v>
      </c>
      <c r="EX10" t="e">
        <f>AND(#REF!,"AAAAAFVXz5k=")</f>
        <v>#REF!</v>
      </c>
      <c r="EY10" t="e">
        <f>AND(#REF!,"AAAAAFVXz5o=")</f>
        <v>#REF!</v>
      </c>
      <c r="EZ10" t="e">
        <f>AND(#REF!,"AAAAAFVXz5s=")</f>
        <v>#REF!</v>
      </c>
      <c r="FA10" t="e">
        <f>AND(#REF!,"AAAAAFVXz5w=")</f>
        <v>#REF!</v>
      </c>
      <c r="FB10" t="e">
        <f>IF(#REF!,"AAAAAFVXz50=",0)</f>
        <v>#REF!</v>
      </c>
      <c r="FC10" t="e">
        <f>AND(#REF!,"AAAAAFVXz54=")</f>
        <v>#REF!</v>
      </c>
      <c r="FD10" t="e">
        <f>AND(#REF!,"AAAAAFVXz58=")</f>
        <v>#REF!</v>
      </c>
      <c r="FE10" t="e">
        <f>AND(#REF!,"AAAAAFVXz6A=")</f>
        <v>#REF!</v>
      </c>
      <c r="FF10" t="e">
        <f>AND(#REF!,"AAAAAFVXz6E=")</f>
        <v>#REF!</v>
      </c>
      <c r="FG10" t="e">
        <f>AND(#REF!,"AAAAAFVXz6I=")</f>
        <v>#REF!</v>
      </c>
      <c r="FH10" t="e">
        <f>AND(#REF!,"AAAAAFVXz6M=")</f>
        <v>#REF!</v>
      </c>
      <c r="FI10" t="e">
        <f>AND(#REF!,"AAAAAFVXz6Q=")</f>
        <v>#REF!</v>
      </c>
      <c r="FJ10" t="e">
        <f>AND(#REF!,"AAAAAFVXz6U=")</f>
        <v>#REF!</v>
      </c>
      <c r="FK10" t="e">
        <f>AND(#REF!,"AAAAAFVXz6Y=")</f>
        <v>#REF!</v>
      </c>
      <c r="FL10" t="e">
        <f>AND(#REF!,"AAAAAFVXz6c=")</f>
        <v>#REF!</v>
      </c>
      <c r="FM10" t="e">
        <f>AND(#REF!,"AAAAAFVXz6g=")</f>
        <v>#REF!</v>
      </c>
      <c r="FN10" t="e">
        <f>AND(#REF!,"AAAAAFVXz6k=")</f>
        <v>#REF!</v>
      </c>
      <c r="FO10" t="e">
        <f>IF(#REF!,"AAAAAFVXz6o=",0)</f>
        <v>#REF!</v>
      </c>
      <c r="FP10" t="e">
        <f>AND(#REF!,"AAAAAFVXz6s=")</f>
        <v>#REF!</v>
      </c>
      <c r="FQ10" t="e">
        <f>AND(#REF!,"AAAAAFVXz6w=")</f>
        <v>#REF!</v>
      </c>
      <c r="FR10" t="e">
        <f>AND(#REF!,"AAAAAFVXz60=")</f>
        <v>#REF!</v>
      </c>
      <c r="FS10" t="e">
        <f>AND(#REF!,"AAAAAFVXz64=")</f>
        <v>#REF!</v>
      </c>
      <c r="FT10" t="e">
        <f>AND(#REF!,"AAAAAFVXz68=")</f>
        <v>#REF!</v>
      </c>
      <c r="FU10" t="e">
        <f>AND(#REF!,"AAAAAFVXz7A=")</f>
        <v>#REF!</v>
      </c>
      <c r="FV10" t="e">
        <f>AND(#REF!,"AAAAAFVXz7E=")</f>
        <v>#REF!</v>
      </c>
      <c r="FW10" t="e">
        <f>AND(#REF!,"AAAAAFVXz7I=")</f>
        <v>#REF!</v>
      </c>
      <c r="FX10" t="e">
        <f>AND(#REF!,"AAAAAFVXz7M=")</f>
        <v>#REF!</v>
      </c>
      <c r="FY10" t="e">
        <f>AND(#REF!,"AAAAAFVXz7Q=")</f>
        <v>#REF!</v>
      </c>
      <c r="FZ10" t="e">
        <f>AND(#REF!,"AAAAAFVXz7U=")</f>
        <v>#REF!</v>
      </c>
      <c r="GA10" t="e">
        <f>AND(#REF!,"AAAAAFVXz7Y=")</f>
        <v>#REF!</v>
      </c>
      <c r="GB10" t="e">
        <f>IF(#REF!,"AAAAAFVXz7c=",0)</f>
        <v>#REF!</v>
      </c>
      <c r="GC10" t="e">
        <f>AND(#REF!,"AAAAAFVXz7g=")</f>
        <v>#REF!</v>
      </c>
      <c r="GD10" t="e">
        <f>AND(#REF!,"AAAAAFVXz7k=")</f>
        <v>#REF!</v>
      </c>
      <c r="GE10" t="e">
        <f>AND(#REF!,"AAAAAFVXz7o=")</f>
        <v>#REF!</v>
      </c>
      <c r="GF10" t="e">
        <f>AND(#REF!,"AAAAAFVXz7s=")</f>
        <v>#REF!</v>
      </c>
      <c r="GG10" t="e">
        <f>AND(#REF!,"AAAAAFVXz7w=")</f>
        <v>#REF!</v>
      </c>
      <c r="GH10" t="e">
        <f>AND(#REF!,"AAAAAFVXz70=")</f>
        <v>#REF!</v>
      </c>
      <c r="GI10" t="e">
        <f>AND(#REF!,"AAAAAFVXz74=")</f>
        <v>#REF!</v>
      </c>
      <c r="GJ10" t="e">
        <f>AND(#REF!,"AAAAAFVXz78=")</f>
        <v>#REF!</v>
      </c>
      <c r="GK10" t="e">
        <f>AND(#REF!,"AAAAAFVXz8A=")</f>
        <v>#REF!</v>
      </c>
      <c r="GL10" t="e">
        <f>AND(#REF!,"AAAAAFVXz8E=")</f>
        <v>#REF!</v>
      </c>
      <c r="GM10" t="e">
        <f>AND(#REF!,"AAAAAFVXz8I=")</f>
        <v>#REF!</v>
      </c>
      <c r="GN10" t="e">
        <f>AND(#REF!,"AAAAAFVXz8M=")</f>
        <v>#REF!</v>
      </c>
      <c r="GO10" t="e">
        <f>IF(#REF!,"AAAAAFVXz8Q=",0)</f>
        <v>#REF!</v>
      </c>
      <c r="GP10" t="e">
        <f>AND(#REF!,"AAAAAFVXz8U=")</f>
        <v>#REF!</v>
      </c>
      <c r="GQ10" t="e">
        <f>AND(#REF!,"AAAAAFVXz8Y=")</f>
        <v>#REF!</v>
      </c>
      <c r="GR10" t="e">
        <f>AND(#REF!,"AAAAAFVXz8c=")</f>
        <v>#REF!</v>
      </c>
      <c r="GS10" t="e">
        <f>AND(#REF!,"AAAAAFVXz8g=")</f>
        <v>#REF!</v>
      </c>
      <c r="GT10" t="e">
        <f>AND(#REF!,"AAAAAFVXz8k=")</f>
        <v>#REF!</v>
      </c>
      <c r="GU10" t="e">
        <f>AND(#REF!,"AAAAAFVXz8o=")</f>
        <v>#REF!</v>
      </c>
      <c r="GV10" t="e">
        <f>AND(#REF!,"AAAAAFVXz8s=")</f>
        <v>#REF!</v>
      </c>
      <c r="GW10" t="e">
        <f>AND(#REF!,"AAAAAFVXz8w=")</f>
        <v>#REF!</v>
      </c>
      <c r="GX10" t="e">
        <f>AND(#REF!,"AAAAAFVXz80=")</f>
        <v>#REF!</v>
      </c>
      <c r="GY10" t="e">
        <f>AND(#REF!,"AAAAAFVXz84=")</f>
        <v>#REF!</v>
      </c>
      <c r="GZ10" t="e">
        <f>AND(#REF!,"AAAAAFVXz88=")</f>
        <v>#REF!</v>
      </c>
      <c r="HA10" t="e">
        <f>AND(#REF!,"AAAAAFVXz9A=")</f>
        <v>#REF!</v>
      </c>
      <c r="HB10" t="e">
        <f>IF(#REF!,"AAAAAFVXz9E=",0)</f>
        <v>#REF!</v>
      </c>
      <c r="HC10" t="e">
        <f>AND(#REF!,"AAAAAFVXz9I=")</f>
        <v>#REF!</v>
      </c>
      <c r="HD10" t="e">
        <f>AND(#REF!,"AAAAAFVXz9M=")</f>
        <v>#REF!</v>
      </c>
      <c r="HE10" t="e">
        <f>AND(#REF!,"AAAAAFVXz9Q=")</f>
        <v>#REF!</v>
      </c>
      <c r="HF10" t="e">
        <f>AND(#REF!,"AAAAAFVXz9U=")</f>
        <v>#REF!</v>
      </c>
      <c r="HG10" t="e">
        <f>AND(#REF!,"AAAAAFVXz9Y=")</f>
        <v>#REF!</v>
      </c>
      <c r="HH10" t="e">
        <f>AND(#REF!,"AAAAAFVXz9c=")</f>
        <v>#REF!</v>
      </c>
      <c r="HI10" t="e">
        <f>AND(#REF!,"AAAAAFVXz9g=")</f>
        <v>#REF!</v>
      </c>
      <c r="HJ10" t="e">
        <f>AND(#REF!,"AAAAAFVXz9k=")</f>
        <v>#REF!</v>
      </c>
      <c r="HK10" t="e">
        <f>AND(#REF!,"AAAAAFVXz9o=")</f>
        <v>#REF!</v>
      </c>
      <c r="HL10" t="e">
        <f>AND(#REF!,"AAAAAFVXz9s=")</f>
        <v>#REF!</v>
      </c>
      <c r="HM10" t="e">
        <f>AND(#REF!,"AAAAAFVXz9w=")</f>
        <v>#REF!</v>
      </c>
      <c r="HN10" t="e">
        <f>AND(#REF!,"AAAAAFVXz90=")</f>
        <v>#REF!</v>
      </c>
      <c r="HO10" t="e">
        <f>IF(#REF!,"AAAAAFVXz94=",0)</f>
        <v>#REF!</v>
      </c>
      <c r="HP10" t="e">
        <f>AND(#REF!,"AAAAAFVXz98=")</f>
        <v>#REF!</v>
      </c>
      <c r="HQ10" t="e">
        <f>AND(#REF!,"AAAAAFVXz+A=")</f>
        <v>#REF!</v>
      </c>
      <c r="HR10" t="e">
        <f>AND(#REF!,"AAAAAFVXz+E=")</f>
        <v>#REF!</v>
      </c>
      <c r="HS10" t="e">
        <f>AND(#REF!,"AAAAAFVXz+I=")</f>
        <v>#REF!</v>
      </c>
      <c r="HT10" t="e">
        <f>AND(#REF!,"AAAAAFVXz+M=")</f>
        <v>#REF!</v>
      </c>
      <c r="HU10" t="e">
        <f>AND(#REF!,"AAAAAFVXz+Q=")</f>
        <v>#REF!</v>
      </c>
      <c r="HV10" t="e">
        <f>AND(#REF!,"AAAAAFVXz+U=")</f>
        <v>#REF!</v>
      </c>
      <c r="HW10" t="e">
        <f>AND(#REF!,"AAAAAFVXz+Y=")</f>
        <v>#REF!</v>
      </c>
      <c r="HX10" t="e">
        <f>AND(#REF!,"AAAAAFVXz+c=")</f>
        <v>#REF!</v>
      </c>
      <c r="HY10" t="e">
        <f>AND(#REF!,"AAAAAFVXz+g=")</f>
        <v>#REF!</v>
      </c>
      <c r="HZ10" t="e">
        <f>AND(#REF!,"AAAAAFVXz+k=")</f>
        <v>#REF!</v>
      </c>
      <c r="IA10" t="e">
        <f>AND(#REF!,"AAAAAFVXz+o=")</f>
        <v>#REF!</v>
      </c>
      <c r="IB10" t="e">
        <f>IF(#REF!,"AAAAAFVXz+s=",0)</f>
        <v>#REF!</v>
      </c>
      <c r="IC10" t="e">
        <f>AND(#REF!,"AAAAAFVXz+w=")</f>
        <v>#REF!</v>
      </c>
      <c r="ID10" t="e">
        <f>AND(#REF!,"AAAAAFVXz+0=")</f>
        <v>#REF!</v>
      </c>
      <c r="IE10" t="e">
        <f>AND(#REF!,"AAAAAFVXz+4=")</f>
        <v>#REF!</v>
      </c>
      <c r="IF10" t="e">
        <f>AND(#REF!,"AAAAAFVXz+8=")</f>
        <v>#REF!</v>
      </c>
      <c r="IG10" t="e">
        <f>AND(#REF!,"AAAAAFVXz/A=")</f>
        <v>#REF!</v>
      </c>
      <c r="IH10" t="e">
        <f>AND(#REF!,"AAAAAFVXz/E=")</f>
        <v>#REF!</v>
      </c>
      <c r="II10" t="e">
        <f>AND(#REF!,"AAAAAFVXz/I=")</f>
        <v>#REF!</v>
      </c>
      <c r="IJ10" t="e">
        <f>AND(#REF!,"AAAAAFVXz/M=")</f>
        <v>#REF!</v>
      </c>
      <c r="IK10" t="e">
        <f>AND(#REF!,"AAAAAFVXz/Q=")</f>
        <v>#REF!</v>
      </c>
      <c r="IL10" t="e">
        <f>AND(#REF!,"AAAAAFVXz/U=")</f>
        <v>#REF!</v>
      </c>
      <c r="IM10" t="e">
        <f>AND(#REF!,"AAAAAFVXz/Y=")</f>
        <v>#REF!</v>
      </c>
      <c r="IN10" t="e">
        <f>AND(#REF!,"AAAAAFVXz/c=")</f>
        <v>#REF!</v>
      </c>
      <c r="IO10" t="e">
        <f>IF(#REF!,"AAAAAFVXz/g=",0)</f>
        <v>#REF!</v>
      </c>
      <c r="IP10" t="e">
        <f>AND(#REF!,"AAAAAFVXz/k=")</f>
        <v>#REF!</v>
      </c>
      <c r="IQ10" t="e">
        <f>AND(#REF!,"AAAAAFVXz/o=")</f>
        <v>#REF!</v>
      </c>
      <c r="IR10" t="e">
        <f>AND(#REF!,"AAAAAFVXz/s=")</f>
        <v>#REF!</v>
      </c>
      <c r="IS10" t="e">
        <f>AND(#REF!,"AAAAAFVXz/w=")</f>
        <v>#REF!</v>
      </c>
      <c r="IT10" t="e">
        <f>AND(#REF!,"AAAAAFVXz/0=")</f>
        <v>#REF!</v>
      </c>
      <c r="IU10" t="e">
        <f>AND(#REF!,"AAAAAFVXz/4=")</f>
        <v>#REF!</v>
      </c>
      <c r="IV10" t="e">
        <f>AND(#REF!,"AAAAAFVXz/8=")</f>
        <v>#REF!</v>
      </c>
    </row>
    <row r="11" spans="1:256">
      <c r="A11" t="e">
        <f>AND(#REF!,"AAAAAF1X/wA=")</f>
        <v>#REF!</v>
      </c>
      <c r="B11" t="e">
        <f>AND(#REF!,"AAAAAF1X/wE=")</f>
        <v>#REF!</v>
      </c>
      <c r="C11" t="e">
        <f>AND(#REF!,"AAAAAF1X/wI=")</f>
        <v>#REF!</v>
      </c>
      <c r="D11" t="e">
        <f>AND(#REF!,"AAAAAF1X/wM=")</f>
        <v>#REF!</v>
      </c>
      <c r="E11" t="e">
        <f>AND(#REF!,"AAAAAF1X/wQ=")</f>
        <v>#REF!</v>
      </c>
      <c r="F11" t="e">
        <f>IF(#REF!,"AAAAAF1X/wU=",0)</f>
        <v>#REF!</v>
      </c>
      <c r="G11" t="e">
        <f>AND(#REF!,"AAAAAF1X/wY=")</f>
        <v>#REF!</v>
      </c>
      <c r="H11" t="e">
        <f>AND(#REF!,"AAAAAF1X/wc=")</f>
        <v>#REF!</v>
      </c>
      <c r="I11" t="e">
        <f>AND(#REF!,"AAAAAF1X/wg=")</f>
        <v>#REF!</v>
      </c>
      <c r="J11" t="e">
        <f>AND(#REF!,"AAAAAF1X/wk=")</f>
        <v>#REF!</v>
      </c>
      <c r="K11" t="e">
        <f>AND(#REF!,"AAAAAF1X/wo=")</f>
        <v>#REF!</v>
      </c>
      <c r="L11" t="e">
        <f>AND(#REF!,"AAAAAF1X/ws=")</f>
        <v>#REF!</v>
      </c>
      <c r="M11" t="e">
        <f>AND(#REF!,"AAAAAF1X/ww=")</f>
        <v>#REF!</v>
      </c>
      <c r="N11" t="e">
        <f>AND(#REF!,"AAAAAF1X/w0=")</f>
        <v>#REF!</v>
      </c>
      <c r="O11" t="e">
        <f>AND(#REF!,"AAAAAF1X/w4=")</f>
        <v>#REF!</v>
      </c>
      <c r="P11" t="e">
        <f>AND(#REF!,"AAAAAF1X/w8=")</f>
        <v>#REF!</v>
      </c>
      <c r="Q11" t="e">
        <f>AND(#REF!,"AAAAAF1X/xA=")</f>
        <v>#REF!</v>
      </c>
      <c r="R11" t="e">
        <f>AND(#REF!,"AAAAAF1X/xE=")</f>
        <v>#REF!</v>
      </c>
      <c r="S11" t="e">
        <f>IF(#REF!,"AAAAAF1X/xI=",0)</f>
        <v>#REF!</v>
      </c>
      <c r="T11" t="e">
        <f>AND(#REF!,"AAAAAF1X/xM=")</f>
        <v>#REF!</v>
      </c>
      <c r="U11" t="e">
        <f>AND(#REF!,"AAAAAF1X/xQ=")</f>
        <v>#REF!</v>
      </c>
      <c r="V11" t="e">
        <f>AND(#REF!,"AAAAAF1X/xU=")</f>
        <v>#REF!</v>
      </c>
      <c r="W11" t="e">
        <f>AND(#REF!,"AAAAAF1X/xY=")</f>
        <v>#REF!</v>
      </c>
      <c r="X11" t="e">
        <f>AND(#REF!,"AAAAAF1X/xc=")</f>
        <v>#REF!</v>
      </c>
      <c r="Y11" t="e">
        <f>AND(#REF!,"AAAAAF1X/xg=")</f>
        <v>#REF!</v>
      </c>
      <c r="Z11" t="e">
        <f>AND(#REF!,"AAAAAF1X/xk=")</f>
        <v>#REF!</v>
      </c>
      <c r="AA11" t="e">
        <f>AND(#REF!,"AAAAAF1X/xo=")</f>
        <v>#REF!</v>
      </c>
      <c r="AB11" t="e">
        <f>AND(#REF!,"AAAAAF1X/xs=")</f>
        <v>#REF!</v>
      </c>
      <c r="AC11" t="e">
        <f>AND(#REF!,"AAAAAF1X/xw=")</f>
        <v>#REF!</v>
      </c>
      <c r="AD11" t="e">
        <f>AND(#REF!,"AAAAAF1X/x0=")</f>
        <v>#REF!</v>
      </c>
      <c r="AE11" t="e">
        <f>AND(#REF!,"AAAAAF1X/x4=")</f>
        <v>#REF!</v>
      </c>
      <c r="AF11" t="e">
        <f>IF(#REF!,"AAAAAF1X/x8=",0)</f>
        <v>#REF!</v>
      </c>
      <c r="AG11" t="e">
        <f>AND(#REF!,"AAAAAF1X/yA=")</f>
        <v>#REF!</v>
      </c>
      <c r="AH11" t="e">
        <f>AND(#REF!,"AAAAAF1X/yE=")</f>
        <v>#REF!</v>
      </c>
      <c r="AI11" t="e">
        <f>AND(#REF!,"AAAAAF1X/yI=")</f>
        <v>#REF!</v>
      </c>
      <c r="AJ11" t="e">
        <f>AND(#REF!,"AAAAAF1X/yM=")</f>
        <v>#REF!</v>
      </c>
      <c r="AK11" t="e">
        <f>AND(#REF!,"AAAAAF1X/yQ=")</f>
        <v>#REF!</v>
      </c>
      <c r="AL11" t="e">
        <f>AND(#REF!,"AAAAAF1X/yU=")</f>
        <v>#REF!</v>
      </c>
      <c r="AM11" t="e">
        <f>AND(#REF!,"AAAAAF1X/yY=")</f>
        <v>#REF!</v>
      </c>
      <c r="AN11" t="e">
        <f>AND(#REF!,"AAAAAF1X/yc=")</f>
        <v>#REF!</v>
      </c>
      <c r="AO11" t="e">
        <f>AND(#REF!,"AAAAAF1X/yg=")</f>
        <v>#REF!</v>
      </c>
      <c r="AP11" t="e">
        <f>AND(#REF!,"AAAAAF1X/yk=")</f>
        <v>#REF!</v>
      </c>
      <c r="AQ11" t="e">
        <f>AND(#REF!,"AAAAAF1X/yo=")</f>
        <v>#REF!</v>
      </c>
      <c r="AR11" t="e">
        <f>AND(#REF!,"AAAAAF1X/ys=")</f>
        <v>#REF!</v>
      </c>
      <c r="AS11" t="e">
        <f>IF(#REF!,"AAAAAF1X/yw=",0)</f>
        <v>#REF!</v>
      </c>
      <c r="AT11" t="e">
        <f>AND(#REF!,"AAAAAF1X/y0=")</f>
        <v>#REF!</v>
      </c>
      <c r="AU11" t="e">
        <f>AND(#REF!,"AAAAAF1X/y4=")</f>
        <v>#REF!</v>
      </c>
      <c r="AV11" t="e">
        <f>AND(#REF!,"AAAAAF1X/y8=")</f>
        <v>#REF!</v>
      </c>
      <c r="AW11" t="e">
        <f>AND(#REF!,"AAAAAF1X/zA=")</f>
        <v>#REF!</v>
      </c>
      <c r="AX11" t="e">
        <f>AND(#REF!,"AAAAAF1X/zE=")</f>
        <v>#REF!</v>
      </c>
      <c r="AY11" t="e">
        <f>AND(#REF!,"AAAAAF1X/zI=")</f>
        <v>#REF!</v>
      </c>
      <c r="AZ11" t="e">
        <f>AND(#REF!,"AAAAAF1X/zM=")</f>
        <v>#REF!</v>
      </c>
      <c r="BA11" t="e">
        <f>AND(#REF!,"AAAAAF1X/zQ=")</f>
        <v>#REF!</v>
      </c>
      <c r="BB11" t="e">
        <f>AND(#REF!,"AAAAAF1X/zU=")</f>
        <v>#REF!</v>
      </c>
      <c r="BC11" t="e">
        <f>AND(#REF!,"AAAAAF1X/zY=")</f>
        <v>#REF!</v>
      </c>
      <c r="BD11" t="e">
        <f>AND(#REF!,"AAAAAF1X/zc=")</f>
        <v>#REF!</v>
      </c>
      <c r="BE11" t="e">
        <f>AND(#REF!,"AAAAAF1X/zg=")</f>
        <v>#REF!</v>
      </c>
      <c r="BF11" t="e">
        <f>IF(#REF!,"AAAAAF1X/zk=",0)</f>
        <v>#REF!</v>
      </c>
      <c r="BG11" t="e">
        <f>AND(#REF!,"AAAAAF1X/zo=")</f>
        <v>#REF!</v>
      </c>
      <c r="BH11" t="e">
        <f>AND(#REF!,"AAAAAF1X/zs=")</f>
        <v>#REF!</v>
      </c>
      <c r="BI11" t="e">
        <f>AND(#REF!,"AAAAAF1X/zw=")</f>
        <v>#REF!</v>
      </c>
      <c r="BJ11" t="e">
        <f>AND(#REF!,"AAAAAF1X/z0=")</f>
        <v>#REF!</v>
      </c>
      <c r="BK11" t="e">
        <f>AND(#REF!,"AAAAAF1X/z4=")</f>
        <v>#REF!</v>
      </c>
      <c r="BL11" t="e">
        <f>AND(#REF!,"AAAAAF1X/z8=")</f>
        <v>#REF!</v>
      </c>
      <c r="BM11" t="e">
        <f>AND(#REF!,"AAAAAF1X/0A=")</f>
        <v>#REF!</v>
      </c>
      <c r="BN11" t="e">
        <f>AND(#REF!,"AAAAAF1X/0E=")</f>
        <v>#REF!</v>
      </c>
      <c r="BO11" t="e">
        <f>AND(#REF!,"AAAAAF1X/0I=")</f>
        <v>#REF!</v>
      </c>
      <c r="BP11" t="e">
        <f>AND(#REF!,"AAAAAF1X/0M=")</f>
        <v>#REF!</v>
      </c>
      <c r="BQ11" t="e">
        <f>AND(#REF!,"AAAAAF1X/0Q=")</f>
        <v>#REF!</v>
      </c>
      <c r="BR11" t="e">
        <f>AND(#REF!,"AAAAAF1X/0U=")</f>
        <v>#REF!</v>
      </c>
      <c r="BS11" t="e">
        <f>IF(#REF!,"AAAAAF1X/0Y=",0)</f>
        <v>#REF!</v>
      </c>
      <c r="BT11" t="e">
        <f>AND(#REF!,"AAAAAF1X/0c=")</f>
        <v>#REF!</v>
      </c>
      <c r="BU11" t="e">
        <f>AND(#REF!,"AAAAAF1X/0g=")</f>
        <v>#REF!</v>
      </c>
      <c r="BV11" t="e">
        <f>AND(#REF!,"AAAAAF1X/0k=")</f>
        <v>#REF!</v>
      </c>
      <c r="BW11" t="e">
        <f>AND(#REF!,"AAAAAF1X/0o=")</f>
        <v>#REF!</v>
      </c>
      <c r="BX11" t="e">
        <f>AND(#REF!,"AAAAAF1X/0s=")</f>
        <v>#REF!</v>
      </c>
      <c r="BY11" t="e">
        <f>AND(#REF!,"AAAAAF1X/0w=")</f>
        <v>#REF!</v>
      </c>
      <c r="BZ11" t="e">
        <f>AND(#REF!,"AAAAAF1X/00=")</f>
        <v>#REF!</v>
      </c>
      <c r="CA11" t="e">
        <f>AND(#REF!,"AAAAAF1X/04=")</f>
        <v>#REF!</v>
      </c>
      <c r="CB11" t="e">
        <f>AND(#REF!,"AAAAAF1X/08=")</f>
        <v>#REF!</v>
      </c>
      <c r="CC11" t="e">
        <f>AND(#REF!,"AAAAAF1X/1A=")</f>
        <v>#REF!</v>
      </c>
      <c r="CD11" t="e">
        <f>AND(#REF!,"AAAAAF1X/1E=")</f>
        <v>#REF!</v>
      </c>
      <c r="CE11" t="e">
        <f>AND(#REF!,"AAAAAF1X/1I=")</f>
        <v>#REF!</v>
      </c>
      <c r="CF11" t="e">
        <f>IF(#REF!,"AAAAAF1X/1M=",0)</f>
        <v>#REF!</v>
      </c>
      <c r="CG11" t="e">
        <f>AND(#REF!,"AAAAAF1X/1Q=")</f>
        <v>#REF!</v>
      </c>
      <c r="CH11" t="e">
        <f>AND(#REF!,"AAAAAF1X/1U=")</f>
        <v>#REF!</v>
      </c>
      <c r="CI11" t="e">
        <f>AND(#REF!,"AAAAAF1X/1Y=")</f>
        <v>#REF!</v>
      </c>
      <c r="CJ11" t="e">
        <f>AND(#REF!,"AAAAAF1X/1c=")</f>
        <v>#REF!</v>
      </c>
      <c r="CK11" t="e">
        <f>AND(#REF!,"AAAAAF1X/1g=")</f>
        <v>#REF!</v>
      </c>
      <c r="CL11" t="e">
        <f>AND(#REF!,"AAAAAF1X/1k=")</f>
        <v>#REF!</v>
      </c>
      <c r="CM11" t="e">
        <f>AND(#REF!,"AAAAAF1X/1o=")</f>
        <v>#REF!</v>
      </c>
      <c r="CN11" t="e">
        <f>AND(#REF!,"AAAAAF1X/1s=")</f>
        <v>#REF!</v>
      </c>
      <c r="CO11" t="e">
        <f>AND(#REF!,"AAAAAF1X/1w=")</f>
        <v>#REF!</v>
      </c>
      <c r="CP11" t="e">
        <f>AND(#REF!,"AAAAAF1X/10=")</f>
        <v>#REF!</v>
      </c>
      <c r="CQ11" t="e">
        <f>AND(#REF!,"AAAAAF1X/14=")</f>
        <v>#REF!</v>
      </c>
      <c r="CR11" t="e">
        <f>AND(#REF!,"AAAAAF1X/18=")</f>
        <v>#REF!</v>
      </c>
      <c r="CS11" t="e">
        <f>IF(#REF!,"AAAAAF1X/2A=",0)</f>
        <v>#REF!</v>
      </c>
      <c r="CT11" t="e">
        <f>AND(#REF!,"AAAAAF1X/2E=")</f>
        <v>#REF!</v>
      </c>
      <c r="CU11" t="e">
        <f>AND(#REF!,"AAAAAF1X/2I=")</f>
        <v>#REF!</v>
      </c>
      <c r="CV11" t="e">
        <f>AND(#REF!,"AAAAAF1X/2M=")</f>
        <v>#REF!</v>
      </c>
      <c r="CW11" t="e">
        <f>AND(#REF!,"AAAAAF1X/2Q=")</f>
        <v>#REF!</v>
      </c>
      <c r="CX11" t="e">
        <f>AND(#REF!,"AAAAAF1X/2U=")</f>
        <v>#REF!</v>
      </c>
      <c r="CY11" t="e">
        <f>AND(#REF!,"AAAAAF1X/2Y=")</f>
        <v>#REF!</v>
      </c>
      <c r="CZ11" t="e">
        <f>AND(#REF!,"AAAAAF1X/2c=")</f>
        <v>#REF!</v>
      </c>
      <c r="DA11" t="e">
        <f>AND(#REF!,"AAAAAF1X/2g=")</f>
        <v>#REF!</v>
      </c>
      <c r="DB11" t="e">
        <f>AND(#REF!,"AAAAAF1X/2k=")</f>
        <v>#REF!</v>
      </c>
      <c r="DC11" t="e">
        <f>AND(#REF!,"AAAAAF1X/2o=")</f>
        <v>#REF!</v>
      </c>
      <c r="DD11" t="e">
        <f>AND(#REF!,"AAAAAF1X/2s=")</f>
        <v>#REF!</v>
      </c>
      <c r="DE11" t="e">
        <f>AND(#REF!,"AAAAAF1X/2w=")</f>
        <v>#REF!</v>
      </c>
      <c r="DF11" t="e">
        <f>IF(#REF!,"AAAAAF1X/20=",0)</f>
        <v>#REF!</v>
      </c>
      <c r="DG11" t="e">
        <f>AND(#REF!,"AAAAAF1X/24=")</f>
        <v>#REF!</v>
      </c>
      <c r="DH11" t="e">
        <f>AND(#REF!,"AAAAAF1X/28=")</f>
        <v>#REF!</v>
      </c>
      <c r="DI11" t="e">
        <f>AND(#REF!,"AAAAAF1X/3A=")</f>
        <v>#REF!</v>
      </c>
      <c r="DJ11" t="e">
        <f>AND(#REF!,"AAAAAF1X/3E=")</f>
        <v>#REF!</v>
      </c>
      <c r="DK11" t="e">
        <f>AND(#REF!,"AAAAAF1X/3I=")</f>
        <v>#REF!</v>
      </c>
      <c r="DL11" t="e">
        <f>AND(#REF!,"AAAAAF1X/3M=")</f>
        <v>#REF!</v>
      </c>
      <c r="DM11" t="e">
        <f>AND(#REF!,"AAAAAF1X/3Q=")</f>
        <v>#REF!</v>
      </c>
      <c r="DN11" t="e">
        <f>AND(#REF!,"AAAAAF1X/3U=")</f>
        <v>#REF!</v>
      </c>
      <c r="DO11" t="e">
        <f>AND(#REF!,"AAAAAF1X/3Y=")</f>
        <v>#REF!</v>
      </c>
      <c r="DP11" t="e">
        <f>AND(#REF!,"AAAAAF1X/3c=")</f>
        <v>#REF!</v>
      </c>
      <c r="DQ11" t="e">
        <f>AND(#REF!,"AAAAAF1X/3g=")</f>
        <v>#REF!</v>
      </c>
      <c r="DR11" t="e">
        <f>AND(#REF!,"AAAAAF1X/3k=")</f>
        <v>#REF!</v>
      </c>
      <c r="DS11" t="e">
        <f>IF(#REF!,"AAAAAF1X/3o=",0)</f>
        <v>#REF!</v>
      </c>
      <c r="DT11" t="e">
        <f>AND(#REF!,"AAAAAF1X/3s=")</f>
        <v>#REF!</v>
      </c>
      <c r="DU11" t="e">
        <f>AND(#REF!,"AAAAAF1X/3w=")</f>
        <v>#REF!</v>
      </c>
      <c r="DV11" t="e">
        <f>AND(#REF!,"AAAAAF1X/30=")</f>
        <v>#REF!</v>
      </c>
      <c r="DW11" t="e">
        <f>AND(#REF!,"AAAAAF1X/34=")</f>
        <v>#REF!</v>
      </c>
      <c r="DX11" t="e">
        <f>AND(#REF!,"AAAAAF1X/38=")</f>
        <v>#REF!</v>
      </c>
      <c r="DY11" t="e">
        <f>AND(#REF!,"AAAAAF1X/4A=")</f>
        <v>#REF!</v>
      </c>
      <c r="DZ11" t="e">
        <f>AND(#REF!,"AAAAAF1X/4E=")</f>
        <v>#REF!</v>
      </c>
      <c r="EA11" t="e">
        <f>AND(#REF!,"AAAAAF1X/4I=")</f>
        <v>#REF!</v>
      </c>
      <c r="EB11" t="e">
        <f>AND(#REF!,"AAAAAF1X/4M=")</f>
        <v>#REF!</v>
      </c>
      <c r="EC11" t="e">
        <f>AND(#REF!,"AAAAAF1X/4Q=")</f>
        <v>#REF!</v>
      </c>
      <c r="ED11" t="e">
        <f>AND(#REF!,"AAAAAF1X/4U=")</f>
        <v>#REF!</v>
      </c>
      <c r="EE11" t="e">
        <f>AND(#REF!,"AAAAAF1X/4Y=")</f>
        <v>#REF!</v>
      </c>
      <c r="EF11" t="e">
        <f>IF(#REF!,"AAAAAF1X/4c=",0)</f>
        <v>#REF!</v>
      </c>
      <c r="EG11" t="e">
        <f>AND(#REF!,"AAAAAF1X/4g=")</f>
        <v>#REF!</v>
      </c>
      <c r="EH11" t="e">
        <f>AND(#REF!,"AAAAAF1X/4k=")</f>
        <v>#REF!</v>
      </c>
      <c r="EI11" t="e">
        <f>AND(#REF!,"AAAAAF1X/4o=")</f>
        <v>#REF!</v>
      </c>
      <c r="EJ11" t="e">
        <f>AND(#REF!,"AAAAAF1X/4s=")</f>
        <v>#REF!</v>
      </c>
      <c r="EK11" t="e">
        <f>AND(#REF!,"AAAAAF1X/4w=")</f>
        <v>#REF!</v>
      </c>
      <c r="EL11" t="e">
        <f>AND(#REF!,"AAAAAF1X/40=")</f>
        <v>#REF!</v>
      </c>
      <c r="EM11" t="e">
        <f>AND(#REF!,"AAAAAF1X/44=")</f>
        <v>#REF!</v>
      </c>
      <c r="EN11" t="e">
        <f>AND(#REF!,"AAAAAF1X/48=")</f>
        <v>#REF!</v>
      </c>
      <c r="EO11" t="e">
        <f>AND(#REF!,"AAAAAF1X/5A=")</f>
        <v>#REF!</v>
      </c>
      <c r="EP11" t="e">
        <f>AND(#REF!,"AAAAAF1X/5E=")</f>
        <v>#REF!</v>
      </c>
      <c r="EQ11" t="e">
        <f>AND(#REF!,"AAAAAF1X/5I=")</f>
        <v>#REF!</v>
      </c>
      <c r="ER11" t="e">
        <f>AND(#REF!,"AAAAAF1X/5M=")</f>
        <v>#REF!</v>
      </c>
      <c r="ES11" t="e">
        <f>IF(#REF!,"AAAAAF1X/5Q=",0)</f>
        <v>#REF!</v>
      </c>
      <c r="ET11" t="e">
        <f>AND(#REF!,"AAAAAF1X/5U=")</f>
        <v>#REF!</v>
      </c>
      <c r="EU11" t="e">
        <f>AND(#REF!,"AAAAAF1X/5Y=")</f>
        <v>#REF!</v>
      </c>
      <c r="EV11" t="e">
        <f>AND(#REF!,"AAAAAF1X/5c=")</f>
        <v>#REF!</v>
      </c>
      <c r="EW11" t="e">
        <f>AND(#REF!,"AAAAAF1X/5g=")</f>
        <v>#REF!</v>
      </c>
      <c r="EX11" t="e">
        <f>AND(#REF!,"AAAAAF1X/5k=")</f>
        <v>#REF!</v>
      </c>
      <c r="EY11" t="e">
        <f>AND(#REF!,"AAAAAF1X/5o=")</f>
        <v>#REF!</v>
      </c>
      <c r="EZ11" t="e">
        <f>AND(#REF!,"AAAAAF1X/5s=")</f>
        <v>#REF!</v>
      </c>
      <c r="FA11" t="e">
        <f>AND(#REF!,"AAAAAF1X/5w=")</f>
        <v>#REF!</v>
      </c>
      <c r="FB11" t="e">
        <f>AND(#REF!,"AAAAAF1X/50=")</f>
        <v>#REF!</v>
      </c>
      <c r="FC11" t="e">
        <f>AND(#REF!,"AAAAAF1X/54=")</f>
        <v>#REF!</v>
      </c>
      <c r="FD11" t="e">
        <f>AND(#REF!,"AAAAAF1X/58=")</f>
        <v>#REF!</v>
      </c>
      <c r="FE11" t="e">
        <f>AND(#REF!,"AAAAAF1X/6A=")</f>
        <v>#REF!</v>
      </c>
      <c r="FF11" t="e">
        <f>IF(#REF!,"AAAAAF1X/6E=",0)</f>
        <v>#REF!</v>
      </c>
      <c r="FG11" t="e">
        <f>AND(#REF!,"AAAAAF1X/6I=")</f>
        <v>#REF!</v>
      </c>
      <c r="FH11" t="e">
        <f>AND(#REF!,"AAAAAF1X/6M=")</f>
        <v>#REF!</v>
      </c>
      <c r="FI11" t="e">
        <f>AND(#REF!,"AAAAAF1X/6Q=")</f>
        <v>#REF!</v>
      </c>
      <c r="FJ11" t="e">
        <f>AND(#REF!,"AAAAAF1X/6U=")</f>
        <v>#REF!</v>
      </c>
      <c r="FK11" t="e">
        <f>AND(#REF!,"AAAAAF1X/6Y=")</f>
        <v>#REF!</v>
      </c>
      <c r="FL11" t="e">
        <f>AND(#REF!,"AAAAAF1X/6c=")</f>
        <v>#REF!</v>
      </c>
      <c r="FM11" t="e">
        <f>AND(#REF!,"AAAAAF1X/6g=")</f>
        <v>#REF!</v>
      </c>
      <c r="FN11" t="e">
        <f>AND(#REF!,"AAAAAF1X/6k=")</f>
        <v>#REF!</v>
      </c>
      <c r="FO11" t="e">
        <f>AND(#REF!,"AAAAAF1X/6o=")</f>
        <v>#REF!</v>
      </c>
      <c r="FP11" t="e">
        <f>AND(#REF!,"AAAAAF1X/6s=")</f>
        <v>#REF!</v>
      </c>
      <c r="FQ11" t="e">
        <f>AND(#REF!,"AAAAAF1X/6w=")</f>
        <v>#REF!</v>
      </c>
      <c r="FR11" t="e">
        <f>AND(#REF!,"AAAAAF1X/60=")</f>
        <v>#REF!</v>
      </c>
      <c r="FS11" t="e">
        <f>IF(#REF!,"AAAAAF1X/64=",0)</f>
        <v>#REF!</v>
      </c>
      <c r="FT11" t="e">
        <f>AND(#REF!,"AAAAAF1X/68=")</f>
        <v>#REF!</v>
      </c>
      <c r="FU11" t="e">
        <f>AND(#REF!,"AAAAAF1X/7A=")</f>
        <v>#REF!</v>
      </c>
      <c r="FV11" t="e">
        <f>AND(#REF!,"AAAAAF1X/7E=")</f>
        <v>#REF!</v>
      </c>
      <c r="FW11" t="e">
        <f>AND(#REF!,"AAAAAF1X/7I=")</f>
        <v>#REF!</v>
      </c>
      <c r="FX11" t="e">
        <f>AND(#REF!,"AAAAAF1X/7M=")</f>
        <v>#REF!</v>
      </c>
      <c r="FY11" t="e">
        <f>AND(#REF!,"AAAAAF1X/7Q=")</f>
        <v>#REF!</v>
      </c>
      <c r="FZ11" t="e">
        <f>AND(#REF!,"AAAAAF1X/7U=")</f>
        <v>#REF!</v>
      </c>
      <c r="GA11" t="e">
        <f>AND(#REF!,"AAAAAF1X/7Y=")</f>
        <v>#REF!</v>
      </c>
      <c r="GB11" t="e">
        <f>AND(#REF!,"AAAAAF1X/7c=")</f>
        <v>#REF!</v>
      </c>
      <c r="GC11" t="e">
        <f>AND(#REF!,"AAAAAF1X/7g=")</f>
        <v>#REF!</v>
      </c>
      <c r="GD11" t="e">
        <f>AND(#REF!,"AAAAAF1X/7k=")</f>
        <v>#REF!</v>
      </c>
      <c r="GE11" t="e">
        <f>AND(#REF!,"AAAAAF1X/7o=")</f>
        <v>#REF!</v>
      </c>
      <c r="GF11" t="e">
        <f>IF(#REF!,"AAAAAF1X/7s=",0)</f>
        <v>#REF!</v>
      </c>
      <c r="GG11" t="e">
        <f>AND(#REF!,"AAAAAF1X/7w=")</f>
        <v>#REF!</v>
      </c>
      <c r="GH11" t="e">
        <f>AND(#REF!,"AAAAAF1X/70=")</f>
        <v>#REF!</v>
      </c>
      <c r="GI11" t="e">
        <f>AND(#REF!,"AAAAAF1X/74=")</f>
        <v>#REF!</v>
      </c>
      <c r="GJ11" t="e">
        <f>AND(#REF!,"AAAAAF1X/78=")</f>
        <v>#REF!</v>
      </c>
      <c r="GK11" t="e">
        <f>AND(#REF!,"AAAAAF1X/8A=")</f>
        <v>#REF!</v>
      </c>
      <c r="GL11" t="e">
        <f>AND(#REF!,"AAAAAF1X/8E=")</f>
        <v>#REF!</v>
      </c>
      <c r="GM11" t="e">
        <f>AND(#REF!,"AAAAAF1X/8I=")</f>
        <v>#REF!</v>
      </c>
      <c r="GN11" t="e">
        <f>AND(#REF!,"AAAAAF1X/8M=")</f>
        <v>#REF!</v>
      </c>
      <c r="GO11" t="e">
        <f>AND(#REF!,"AAAAAF1X/8Q=")</f>
        <v>#REF!</v>
      </c>
      <c r="GP11" t="e">
        <f>AND(#REF!,"AAAAAF1X/8U=")</f>
        <v>#REF!</v>
      </c>
      <c r="GQ11" t="e">
        <f>AND(#REF!,"AAAAAF1X/8Y=")</f>
        <v>#REF!</v>
      </c>
      <c r="GR11" t="e">
        <f>AND(#REF!,"AAAAAF1X/8c=")</f>
        <v>#REF!</v>
      </c>
      <c r="GS11" t="e">
        <f>IF(#REF!,"AAAAAF1X/8g=",0)</f>
        <v>#REF!</v>
      </c>
      <c r="GT11" t="e">
        <f>AND(#REF!,"AAAAAF1X/8k=")</f>
        <v>#REF!</v>
      </c>
      <c r="GU11" t="e">
        <f>AND(#REF!,"AAAAAF1X/8o=")</f>
        <v>#REF!</v>
      </c>
      <c r="GV11" t="e">
        <f>AND(#REF!,"AAAAAF1X/8s=")</f>
        <v>#REF!</v>
      </c>
      <c r="GW11" t="e">
        <f>AND(#REF!,"AAAAAF1X/8w=")</f>
        <v>#REF!</v>
      </c>
      <c r="GX11" t="e">
        <f>AND(#REF!,"AAAAAF1X/80=")</f>
        <v>#REF!</v>
      </c>
      <c r="GY11" t="e">
        <f>AND(#REF!,"AAAAAF1X/84=")</f>
        <v>#REF!</v>
      </c>
      <c r="GZ11" t="e">
        <f>AND(#REF!,"AAAAAF1X/88=")</f>
        <v>#REF!</v>
      </c>
      <c r="HA11" t="e">
        <f>AND(#REF!,"AAAAAF1X/9A=")</f>
        <v>#REF!</v>
      </c>
      <c r="HB11" t="e">
        <f>AND(#REF!,"AAAAAF1X/9E=")</f>
        <v>#REF!</v>
      </c>
      <c r="HC11" t="e">
        <f>AND(#REF!,"AAAAAF1X/9I=")</f>
        <v>#REF!</v>
      </c>
      <c r="HD11" t="e">
        <f>AND(#REF!,"AAAAAF1X/9M=")</f>
        <v>#REF!</v>
      </c>
      <c r="HE11" t="e">
        <f>AND(#REF!,"AAAAAF1X/9Q=")</f>
        <v>#REF!</v>
      </c>
      <c r="HF11" t="e">
        <f>IF(#REF!,"AAAAAF1X/9U=",0)</f>
        <v>#REF!</v>
      </c>
      <c r="HG11" t="e">
        <f>AND(#REF!,"AAAAAF1X/9Y=")</f>
        <v>#REF!</v>
      </c>
      <c r="HH11" t="e">
        <f>AND(#REF!,"AAAAAF1X/9c=")</f>
        <v>#REF!</v>
      </c>
      <c r="HI11" t="e">
        <f>AND(#REF!,"AAAAAF1X/9g=")</f>
        <v>#REF!</v>
      </c>
      <c r="HJ11" t="e">
        <f>AND(#REF!,"AAAAAF1X/9k=")</f>
        <v>#REF!</v>
      </c>
      <c r="HK11" t="e">
        <f>AND(#REF!,"AAAAAF1X/9o=")</f>
        <v>#REF!</v>
      </c>
      <c r="HL11" t="e">
        <f>AND(#REF!,"AAAAAF1X/9s=")</f>
        <v>#REF!</v>
      </c>
      <c r="HM11" t="e">
        <f>AND(#REF!,"AAAAAF1X/9w=")</f>
        <v>#REF!</v>
      </c>
      <c r="HN11" t="e">
        <f>AND(#REF!,"AAAAAF1X/90=")</f>
        <v>#REF!</v>
      </c>
      <c r="HO11" t="e">
        <f>AND(#REF!,"AAAAAF1X/94=")</f>
        <v>#REF!</v>
      </c>
      <c r="HP11" t="e">
        <f>AND(#REF!,"AAAAAF1X/98=")</f>
        <v>#REF!</v>
      </c>
      <c r="HQ11" t="e">
        <f>AND(#REF!,"AAAAAF1X/+A=")</f>
        <v>#REF!</v>
      </c>
      <c r="HR11" t="e">
        <f>AND(#REF!,"AAAAAF1X/+E=")</f>
        <v>#REF!</v>
      </c>
      <c r="HS11" t="e">
        <f>IF(#REF!,"AAAAAF1X/+I=",0)</f>
        <v>#REF!</v>
      </c>
      <c r="HT11" t="e">
        <f>AND(#REF!,"AAAAAF1X/+M=")</f>
        <v>#REF!</v>
      </c>
      <c r="HU11" t="e">
        <f>AND(#REF!,"AAAAAF1X/+Q=")</f>
        <v>#REF!</v>
      </c>
      <c r="HV11" t="e">
        <f>AND(#REF!,"AAAAAF1X/+U=")</f>
        <v>#REF!</v>
      </c>
      <c r="HW11" t="e">
        <f>AND(#REF!,"AAAAAF1X/+Y=")</f>
        <v>#REF!</v>
      </c>
      <c r="HX11" t="e">
        <f>AND(#REF!,"AAAAAF1X/+c=")</f>
        <v>#REF!</v>
      </c>
      <c r="HY11" t="e">
        <f>AND(#REF!,"AAAAAF1X/+g=")</f>
        <v>#REF!</v>
      </c>
      <c r="HZ11" t="e">
        <f>AND(#REF!,"AAAAAF1X/+k=")</f>
        <v>#REF!</v>
      </c>
      <c r="IA11" t="e">
        <f>AND(#REF!,"AAAAAF1X/+o=")</f>
        <v>#REF!</v>
      </c>
      <c r="IB11" t="e">
        <f>AND(#REF!,"AAAAAF1X/+s=")</f>
        <v>#REF!</v>
      </c>
      <c r="IC11" t="e">
        <f>AND(#REF!,"AAAAAF1X/+w=")</f>
        <v>#REF!</v>
      </c>
      <c r="ID11" t="e">
        <f>AND(#REF!,"AAAAAF1X/+0=")</f>
        <v>#REF!</v>
      </c>
      <c r="IE11" t="e">
        <f>AND(#REF!,"AAAAAF1X/+4=")</f>
        <v>#REF!</v>
      </c>
      <c r="IF11" t="e">
        <f>IF(#REF!,"AAAAAF1X/+8=",0)</f>
        <v>#REF!</v>
      </c>
      <c r="IG11" t="e">
        <f>AND(#REF!,"AAAAAF1X//A=")</f>
        <v>#REF!</v>
      </c>
      <c r="IH11" t="e">
        <f>AND(#REF!,"AAAAAF1X//E=")</f>
        <v>#REF!</v>
      </c>
      <c r="II11" t="e">
        <f>AND(#REF!,"AAAAAF1X//I=")</f>
        <v>#REF!</v>
      </c>
      <c r="IJ11" t="e">
        <f>AND(#REF!,"AAAAAF1X//M=")</f>
        <v>#REF!</v>
      </c>
      <c r="IK11" t="e">
        <f>AND(#REF!,"AAAAAF1X//Q=")</f>
        <v>#REF!</v>
      </c>
      <c r="IL11" t="e">
        <f>AND(#REF!,"AAAAAF1X//U=")</f>
        <v>#REF!</v>
      </c>
      <c r="IM11" t="e">
        <f>AND(#REF!,"AAAAAF1X//Y=")</f>
        <v>#REF!</v>
      </c>
      <c r="IN11" t="e">
        <f>AND(#REF!,"AAAAAF1X//c=")</f>
        <v>#REF!</v>
      </c>
      <c r="IO11" t="e">
        <f>AND(#REF!,"AAAAAF1X//g=")</f>
        <v>#REF!</v>
      </c>
      <c r="IP11" t="e">
        <f>AND(#REF!,"AAAAAF1X//k=")</f>
        <v>#REF!</v>
      </c>
      <c r="IQ11" t="e">
        <f>AND(#REF!,"AAAAAF1X//o=")</f>
        <v>#REF!</v>
      </c>
      <c r="IR11" t="e">
        <f>AND(#REF!,"AAAAAF1X//s=")</f>
        <v>#REF!</v>
      </c>
      <c r="IS11" t="e">
        <f>IF(#REF!,"AAAAAF1X//w=",0)</f>
        <v>#REF!</v>
      </c>
      <c r="IT11" t="e">
        <f>AND(#REF!,"AAAAAF1X//0=")</f>
        <v>#REF!</v>
      </c>
      <c r="IU11" t="e">
        <f>AND(#REF!,"AAAAAF1X//4=")</f>
        <v>#REF!</v>
      </c>
      <c r="IV11" t="e">
        <f>AND(#REF!,"AAAAAF1X//8=")</f>
        <v>#REF!</v>
      </c>
    </row>
    <row r="12" spans="1:256">
      <c r="A12" t="e">
        <f>AND(#REF!,"AAAAAH1H/wA=")</f>
        <v>#REF!</v>
      </c>
      <c r="B12" t="e">
        <f>AND(#REF!,"AAAAAH1H/wE=")</f>
        <v>#REF!</v>
      </c>
      <c r="C12" t="e">
        <f>AND(#REF!,"AAAAAH1H/wI=")</f>
        <v>#REF!</v>
      </c>
      <c r="D12" t="e">
        <f>AND(#REF!,"AAAAAH1H/wM=")</f>
        <v>#REF!</v>
      </c>
      <c r="E12" t="e">
        <f>AND(#REF!,"AAAAAH1H/wQ=")</f>
        <v>#REF!</v>
      </c>
      <c r="F12" t="e">
        <f>AND(#REF!,"AAAAAH1H/wU=")</f>
        <v>#REF!</v>
      </c>
      <c r="G12" t="e">
        <f>AND(#REF!,"AAAAAH1H/wY=")</f>
        <v>#REF!</v>
      </c>
      <c r="H12" t="e">
        <f>AND(#REF!,"AAAAAH1H/wc=")</f>
        <v>#REF!</v>
      </c>
      <c r="I12" t="e">
        <f>AND(#REF!,"AAAAAH1H/wg=")</f>
        <v>#REF!</v>
      </c>
      <c r="J12" t="e">
        <f>IF(#REF!,"AAAAAH1H/wk=",0)</f>
        <v>#REF!</v>
      </c>
      <c r="K12" t="e">
        <f>AND(#REF!,"AAAAAH1H/wo=")</f>
        <v>#REF!</v>
      </c>
      <c r="L12" t="e">
        <f>AND(#REF!,"AAAAAH1H/ws=")</f>
        <v>#REF!</v>
      </c>
      <c r="M12" t="e">
        <f>AND(#REF!,"AAAAAH1H/ww=")</f>
        <v>#REF!</v>
      </c>
      <c r="N12" t="e">
        <f>AND(#REF!,"AAAAAH1H/w0=")</f>
        <v>#REF!</v>
      </c>
      <c r="O12" t="e">
        <f>AND(#REF!,"AAAAAH1H/w4=")</f>
        <v>#REF!</v>
      </c>
      <c r="P12" t="e">
        <f>AND(#REF!,"AAAAAH1H/w8=")</f>
        <v>#REF!</v>
      </c>
      <c r="Q12" t="e">
        <f>AND(#REF!,"AAAAAH1H/xA=")</f>
        <v>#REF!</v>
      </c>
      <c r="R12" t="e">
        <f>AND(#REF!,"AAAAAH1H/xE=")</f>
        <v>#REF!</v>
      </c>
      <c r="S12" t="e">
        <f>AND(#REF!,"AAAAAH1H/xI=")</f>
        <v>#REF!</v>
      </c>
      <c r="T12" t="e">
        <f>AND(#REF!,"AAAAAH1H/xM=")</f>
        <v>#REF!</v>
      </c>
      <c r="U12" t="e">
        <f>AND(#REF!,"AAAAAH1H/xQ=")</f>
        <v>#REF!</v>
      </c>
      <c r="V12" t="e">
        <f>AND(#REF!,"AAAAAH1H/xU=")</f>
        <v>#REF!</v>
      </c>
      <c r="W12" t="e">
        <f>IF(#REF!,"AAAAAH1H/xY=",0)</f>
        <v>#REF!</v>
      </c>
      <c r="X12" t="e">
        <f>AND(#REF!,"AAAAAH1H/xc=")</f>
        <v>#REF!</v>
      </c>
      <c r="Y12" t="e">
        <f>AND(#REF!,"AAAAAH1H/xg=")</f>
        <v>#REF!</v>
      </c>
      <c r="Z12" t="e">
        <f>AND(#REF!,"AAAAAH1H/xk=")</f>
        <v>#REF!</v>
      </c>
      <c r="AA12" t="e">
        <f>AND(#REF!,"AAAAAH1H/xo=")</f>
        <v>#REF!</v>
      </c>
      <c r="AB12" t="e">
        <f>AND(#REF!,"AAAAAH1H/xs=")</f>
        <v>#REF!</v>
      </c>
      <c r="AC12" t="e">
        <f>AND(#REF!,"AAAAAH1H/xw=")</f>
        <v>#REF!</v>
      </c>
      <c r="AD12" t="e">
        <f>AND(#REF!,"AAAAAH1H/x0=")</f>
        <v>#REF!</v>
      </c>
      <c r="AE12" t="e">
        <f>AND(#REF!,"AAAAAH1H/x4=")</f>
        <v>#REF!</v>
      </c>
      <c r="AF12" t="e">
        <f>AND(#REF!,"AAAAAH1H/x8=")</f>
        <v>#REF!</v>
      </c>
      <c r="AG12" t="e">
        <f>AND(#REF!,"AAAAAH1H/yA=")</f>
        <v>#REF!</v>
      </c>
      <c r="AH12" t="e">
        <f>AND(#REF!,"AAAAAH1H/yE=")</f>
        <v>#REF!</v>
      </c>
      <c r="AI12" t="e">
        <f>AND(#REF!,"AAAAAH1H/yI=")</f>
        <v>#REF!</v>
      </c>
      <c r="AJ12" t="e">
        <f>IF(#REF!,"AAAAAH1H/yM=",0)</f>
        <v>#REF!</v>
      </c>
      <c r="AK12" t="e">
        <f>AND(#REF!,"AAAAAH1H/yQ=")</f>
        <v>#REF!</v>
      </c>
      <c r="AL12" t="e">
        <f>AND(#REF!,"AAAAAH1H/yU=")</f>
        <v>#REF!</v>
      </c>
      <c r="AM12" t="e">
        <f>AND(#REF!,"AAAAAH1H/yY=")</f>
        <v>#REF!</v>
      </c>
      <c r="AN12" t="e">
        <f>AND(#REF!,"AAAAAH1H/yc=")</f>
        <v>#REF!</v>
      </c>
      <c r="AO12" t="e">
        <f>AND(#REF!,"AAAAAH1H/yg=")</f>
        <v>#REF!</v>
      </c>
      <c r="AP12" t="e">
        <f>AND(#REF!,"AAAAAH1H/yk=")</f>
        <v>#REF!</v>
      </c>
      <c r="AQ12" t="e">
        <f>AND(#REF!,"AAAAAH1H/yo=")</f>
        <v>#REF!</v>
      </c>
      <c r="AR12" t="e">
        <f>AND(#REF!,"AAAAAH1H/ys=")</f>
        <v>#REF!</v>
      </c>
      <c r="AS12" t="e">
        <f>AND(#REF!,"AAAAAH1H/yw=")</f>
        <v>#REF!</v>
      </c>
      <c r="AT12" t="e">
        <f>AND(#REF!,"AAAAAH1H/y0=")</f>
        <v>#REF!</v>
      </c>
      <c r="AU12" t="e">
        <f>AND(#REF!,"AAAAAH1H/y4=")</f>
        <v>#REF!</v>
      </c>
      <c r="AV12" t="e">
        <f>AND(#REF!,"AAAAAH1H/y8=")</f>
        <v>#REF!</v>
      </c>
      <c r="AW12" t="e">
        <f>IF(#REF!,"AAAAAH1H/zA=",0)</f>
        <v>#REF!</v>
      </c>
      <c r="AX12" t="e">
        <f>AND(#REF!,"AAAAAH1H/zE=")</f>
        <v>#REF!</v>
      </c>
      <c r="AY12" t="e">
        <f>AND(#REF!,"AAAAAH1H/zI=")</f>
        <v>#REF!</v>
      </c>
      <c r="AZ12" t="e">
        <f>AND(#REF!,"AAAAAH1H/zM=")</f>
        <v>#REF!</v>
      </c>
      <c r="BA12" t="e">
        <f>AND(#REF!,"AAAAAH1H/zQ=")</f>
        <v>#REF!</v>
      </c>
      <c r="BB12" t="e">
        <f>AND(#REF!,"AAAAAH1H/zU=")</f>
        <v>#REF!</v>
      </c>
      <c r="BC12" t="e">
        <f>AND(#REF!,"AAAAAH1H/zY=")</f>
        <v>#REF!</v>
      </c>
      <c r="BD12" t="e">
        <f>AND(#REF!,"AAAAAH1H/zc=")</f>
        <v>#REF!</v>
      </c>
      <c r="BE12" t="e">
        <f>AND(#REF!,"AAAAAH1H/zg=")</f>
        <v>#REF!</v>
      </c>
      <c r="BF12" t="e">
        <f>AND(#REF!,"AAAAAH1H/zk=")</f>
        <v>#REF!</v>
      </c>
      <c r="BG12" t="e">
        <f>AND(#REF!,"AAAAAH1H/zo=")</f>
        <v>#REF!</v>
      </c>
      <c r="BH12" t="e">
        <f>AND(#REF!,"AAAAAH1H/zs=")</f>
        <v>#REF!</v>
      </c>
      <c r="BI12" t="e">
        <f>AND(#REF!,"AAAAAH1H/zw=")</f>
        <v>#REF!</v>
      </c>
      <c r="BJ12" t="e">
        <f>IF(#REF!,"AAAAAH1H/z0=",0)</f>
        <v>#REF!</v>
      </c>
      <c r="BK12" t="e">
        <f>AND(#REF!,"AAAAAH1H/z4=")</f>
        <v>#REF!</v>
      </c>
      <c r="BL12" t="e">
        <f>AND(#REF!,"AAAAAH1H/z8=")</f>
        <v>#REF!</v>
      </c>
      <c r="BM12" t="e">
        <f>AND(#REF!,"AAAAAH1H/0A=")</f>
        <v>#REF!</v>
      </c>
      <c r="BN12" t="e">
        <f>AND(#REF!,"AAAAAH1H/0E=")</f>
        <v>#REF!</v>
      </c>
      <c r="BO12" t="e">
        <f>AND(#REF!,"AAAAAH1H/0I=")</f>
        <v>#REF!</v>
      </c>
      <c r="BP12" t="e">
        <f>AND(#REF!,"AAAAAH1H/0M=")</f>
        <v>#REF!</v>
      </c>
      <c r="BQ12" t="e">
        <f>AND(#REF!,"AAAAAH1H/0Q=")</f>
        <v>#REF!</v>
      </c>
      <c r="BR12" t="e">
        <f>AND(#REF!,"AAAAAH1H/0U=")</f>
        <v>#REF!</v>
      </c>
      <c r="BS12" t="e">
        <f>AND(#REF!,"AAAAAH1H/0Y=")</f>
        <v>#REF!</v>
      </c>
      <c r="BT12" t="e">
        <f>AND(#REF!,"AAAAAH1H/0c=")</f>
        <v>#REF!</v>
      </c>
      <c r="BU12" t="e">
        <f>AND(#REF!,"AAAAAH1H/0g=")</f>
        <v>#REF!</v>
      </c>
      <c r="BV12" t="e">
        <f>AND(#REF!,"AAAAAH1H/0k=")</f>
        <v>#REF!</v>
      </c>
      <c r="BW12" t="e">
        <f>IF(#REF!,"AAAAAH1H/0o=",0)</f>
        <v>#REF!</v>
      </c>
      <c r="BX12" t="e">
        <f>AND(#REF!,"AAAAAH1H/0s=")</f>
        <v>#REF!</v>
      </c>
      <c r="BY12" t="e">
        <f>AND(#REF!,"AAAAAH1H/0w=")</f>
        <v>#REF!</v>
      </c>
      <c r="BZ12" t="e">
        <f>AND(#REF!,"AAAAAH1H/00=")</f>
        <v>#REF!</v>
      </c>
      <c r="CA12" t="e">
        <f>AND(#REF!,"AAAAAH1H/04=")</f>
        <v>#REF!</v>
      </c>
      <c r="CB12" t="e">
        <f>AND(#REF!,"AAAAAH1H/08=")</f>
        <v>#REF!</v>
      </c>
      <c r="CC12" t="e">
        <f>AND(#REF!,"AAAAAH1H/1A=")</f>
        <v>#REF!</v>
      </c>
      <c r="CD12" t="e">
        <f>AND(#REF!,"AAAAAH1H/1E=")</f>
        <v>#REF!</v>
      </c>
      <c r="CE12" t="e">
        <f>AND(#REF!,"AAAAAH1H/1I=")</f>
        <v>#REF!</v>
      </c>
      <c r="CF12" t="e">
        <f>AND(#REF!,"AAAAAH1H/1M=")</f>
        <v>#REF!</v>
      </c>
      <c r="CG12" t="e">
        <f>AND(#REF!,"AAAAAH1H/1Q=")</f>
        <v>#REF!</v>
      </c>
      <c r="CH12" t="e">
        <f>AND(#REF!,"AAAAAH1H/1U=")</f>
        <v>#REF!</v>
      </c>
      <c r="CI12" t="e">
        <f>AND(#REF!,"AAAAAH1H/1Y=")</f>
        <v>#REF!</v>
      </c>
      <c r="CJ12" t="e">
        <f>IF(#REF!,"AAAAAH1H/1c=",0)</f>
        <v>#REF!</v>
      </c>
      <c r="CK12" t="e">
        <f>AND(#REF!,"AAAAAH1H/1g=")</f>
        <v>#REF!</v>
      </c>
      <c r="CL12" t="e">
        <f>AND(#REF!,"AAAAAH1H/1k=")</f>
        <v>#REF!</v>
      </c>
      <c r="CM12" t="e">
        <f>AND(#REF!,"AAAAAH1H/1o=")</f>
        <v>#REF!</v>
      </c>
      <c r="CN12" t="e">
        <f>AND(#REF!,"AAAAAH1H/1s=")</f>
        <v>#REF!</v>
      </c>
      <c r="CO12" t="e">
        <f>AND(#REF!,"AAAAAH1H/1w=")</f>
        <v>#REF!</v>
      </c>
      <c r="CP12" t="e">
        <f>AND(#REF!,"AAAAAH1H/10=")</f>
        <v>#REF!</v>
      </c>
      <c r="CQ12" t="e">
        <f>AND(#REF!,"AAAAAH1H/14=")</f>
        <v>#REF!</v>
      </c>
      <c r="CR12" t="e">
        <f>AND(#REF!,"AAAAAH1H/18=")</f>
        <v>#REF!</v>
      </c>
      <c r="CS12" t="e">
        <f>AND(#REF!,"AAAAAH1H/2A=")</f>
        <v>#REF!</v>
      </c>
      <c r="CT12" t="e">
        <f>AND(#REF!,"AAAAAH1H/2E=")</f>
        <v>#REF!</v>
      </c>
      <c r="CU12" t="e">
        <f>AND(#REF!,"AAAAAH1H/2I=")</f>
        <v>#REF!</v>
      </c>
      <c r="CV12" t="e">
        <f>AND(#REF!,"AAAAAH1H/2M=")</f>
        <v>#REF!</v>
      </c>
      <c r="CW12" t="e">
        <f>IF(#REF!,"AAAAAH1H/2Q=",0)</f>
        <v>#REF!</v>
      </c>
      <c r="CX12" t="e">
        <f>AND(#REF!,"AAAAAH1H/2U=")</f>
        <v>#REF!</v>
      </c>
      <c r="CY12" t="e">
        <f>AND(#REF!,"AAAAAH1H/2Y=")</f>
        <v>#REF!</v>
      </c>
      <c r="CZ12" t="e">
        <f>AND(#REF!,"AAAAAH1H/2c=")</f>
        <v>#REF!</v>
      </c>
      <c r="DA12" t="e">
        <f>AND(#REF!,"AAAAAH1H/2g=")</f>
        <v>#REF!</v>
      </c>
      <c r="DB12" t="e">
        <f>AND(#REF!,"AAAAAH1H/2k=")</f>
        <v>#REF!</v>
      </c>
      <c r="DC12" t="e">
        <f>AND(#REF!,"AAAAAH1H/2o=")</f>
        <v>#REF!</v>
      </c>
      <c r="DD12" t="e">
        <f>AND(#REF!,"AAAAAH1H/2s=")</f>
        <v>#REF!</v>
      </c>
      <c r="DE12" t="e">
        <f>AND(#REF!,"AAAAAH1H/2w=")</f>
        <v>#REF!</v>
      </c>
      <c r="DF12" t="e">
        <f>AND(#REF!,"AAAAAH1H/20=")</f>
        <v>#REF!</v>
      </c>
      <c r="DG12" t="e">
        <f>AND(#REF!,"AAAAAH1H/24=")</f>
        <v>#REF!</v>
      </c>
      <c r="DH12" t="e">
        <f>AND(#REF!,"AAAAAH1H/28=")</f>
        <v>#REF!</v>
      </c>
      <c r="DI12" t="e">
        <f>AND(#REF!,"AAAAAH1H/3A=")</f>
        <v>#REF!</v>
      </c>
      <c r="DJ12" t="e">
        <f>IF(#REF!,"AAAAAH1H/3E=",0)</f>
        <v>#REF!</v>
      </c>
      <c r="DK12" t="e">
        <f>AND(#REF!,"AAAAAH1H/3I=")</f>
        <v>#REF!</v>
      </c>
      <c r="DL12" t="e">
        <f>AND(#REF!,"AAAAAH1H/3M=")</f>
        <v>#REF!</v>
      </c>
      <c r="DM12" t="e">
        <f>AND(#REF!,"AAAAAH1H/3Q=")</f>
        <v>#REF!</v>
      </c>
      <c r="DN12" t="e">
        <f>AND(#REF!,"AAAAAH1H/3U=")</f>
        <v>#REF!</v>
      </c>
      <c r="DO12" t="e">
        <f>AND(#REF!,"AAAAAH1H/3Y=")</f>
        <v>#REF!</v>
      </c>
      <c r="DP12" t="e">
        <f>AND(#REF!,"AAAAAH1H/3c=")</f>
        <v>#REF!</v>
      </c>
      <c r="DQ12" t="e">
        <f>AND(#REF!,"AAAAAH1H/3g=")</f>
        <v>#REF!</v>
      </c>
      <c r="DR12" t="e">
        <f>AND(#REF!,"AAAAAH1H/3k=")</f>
        <v>#REF!</v>
      </c>
      <c r="DS12" t="e">
        <f>AND(#REF!,"AAAAAH1H/3o=")</f>
        <v>#REF!</v>
      </c>
      <c r="DT12" t="e">
        <f>AND(#REF!,"AAAAAH1H/3s=")</f>
        <v>#REF!</v>
      </c>
      <c r="DU12" t="e">
        <f>AND(#REF!,"AAAAAH1H/3w=")</f>
        <v>#REF!</v>
      </c>
      <c r="DV12" t="e">
        <f>AND(#REF!,"AAAAAH1H/30=")</f>
        <v>#REF!</v>
      </c>
      <c r="DW12" t="e">
        <f>IF(#REF!,"AAAAAH1H/34=",0)</f>
        <v>#REF!</v>
      </c>
      <c r="DX12" t="e">
        <f>AND(#REF!,"AAAAAH1H/38=")</f>
        <v>#REF!</v>
      </c>
      <c r="DY12" t="e">
        <f>AND(#REF!,"AAAAAH1H/4A=")</f>
        <v>#REF!</v>
      </c>
      <c r="DZ12" t="e">
        <f>AND(#REF!,"AAAAAH1H/4E=")</f>
        <v>#REF!</v>
      </c>
      <c r="EA12" t="e">
        <f>AND(#REF!,"AAAAAH1H/4I=")</f>
        <v>#REF!</v>
      </c>
      <c r="EB12" t="e">
        <f>AND(#REF!,"AAAAAH1H/4M=")</f>
        <v>#REF!</v>
      </c>
      <c r="EC12" t="e">
        <f>AND(#REF!,"AAAAAH1H/4Q=")</f>
        <v>#REF!</v>
      </c>
      <c r="ED12" t="e">
        <f>AND(#REF!,"AAAAAH1H/4U=")</f>
        <v>#REF!</v>
      </c>
      <c r="EE12" t="e">
        <f>AND(#REF!,"AAAAAH1H/4Y=")</f>
        <v>#REF!</v>
      </c>
      <c r="EF12" t="e">
        <f>AND(#REF!,"AAAAAH1H/4c=")</f>
        <v>#REF!</v>
      </c>
      <c r="EG12" t="e">
        <f>AND(#REF!,"AAAAAH1H/4g=")</f>
        <v>#REF!</v>
      </c>
      <c r="EH12" t="e">
        <f>AND(#REF!,"AAAAAH1H/4k=")</f>
        <v>#REF!</v>
      </c>
      <c r="EI12" t="e">
        <f>AND(#REF!,"AAAAAH1H/4o=")</f>
        <v>#REF!</v>
      </c>
      <c r="EJ12" t="e">
        <f>IF(#REF!,"AAAAAH1H/4s=",0)</f>
        <v>#REF!</v>
      </c>
      <c r="EK12" t="e">
        <f>AND(#REF!,"AAAAAH1H/4w=")</f>
        <v>#REF!</v>
      </c>
      <c r="EL12" t="e">
        <f>AND(#REF!,"AAAAAH1H/40=")</f>
        <v>#REF!</v>
      </c>
      <c r="EM12" t="e">
        <f>AND(#REF!,"AAAAAH1H/44=")</f>
        <v>#REF!</v>
      </c>
      <c r="EN12" t="e">
        <f>AND(#REF!,"AAAAAH1H/48=")</f>
        <v>#REF!</v>
      </c>
      <c r="EO12" t="e">
        <f>AND(#REF!,"AAAAAH1H/5A=")</f>
        <v>#REF!</v>
      </c>
      <c r="EP12" t="e">
        <f>AND(#REF!,"AAAAAH1H/5E=")</f>
        <v>#REF!</v>
      </c>
      <c r="EQ12" t="e">
        <f>AND(#REF!,"AAAAAH1H/5I=")</f>
        <v>#REF!</v>
      </c>
      <c r="ER12" t="e">
        <f>AND(#REF!,"AAAAAH1H/5M=")</f>
        <v>#REF!</v>
      </c>
      <c r="ES12" t="e">
        <f>AND(#REF!,"AAAAAH1H/5Q=")</f>
        <v>#REF!</v>
      </c>
      <c r="ET12" t="e">
        <f>AND(#REF!,"AAAAAH1H/5U=")</f>
        <v>#REF!</v>
      </c>
      <c r="EU12" t="e">
        <f>AND(#REF!,"AAAAAH1H/5Y=")</f>
        <v>#REF!</v>
      </c>
      <c r="EV12" t="e">
        <f>AND(#REF!,"AAAAAH1H/5c=")</f>
        <v>#REF!</v>
      </c>
      <c r="EW12" t="e">
        <f>IF(#REF!,"AAAAAH1H/5g=",0)</f>
        <v>#REF!</v>
      </c>
      <c r="EX12" t="e">
        <f>AND(#REF!,"AAAAAH1H/5k=")</f>
        <v>#REF!</v>
      </c>
      <c r="EY12" t="e">
        <f>AND(#REF!,"AAAAAH1H/5o=")</f>
        <v>#REF!</v>
      </c>
      <c r="EZ12" t="e">
        <f>AND(#REF!,"AAAAAH1H/5s=")</f>
        <v>#REF!</v>
      </c>
      <c r="FA12" t="e">
        <f>AND(#REF!,"AAAAAH1H/5w=")</f>
        <v>#REF!</v>
      </c>
      <c r="FB12" t="e">
        <f>AND(#REF!,"AAAAAH1H/50=")</f>
        <v>#REF!</v>
      </c>
      <c r="FC12" t="e">
        <f>AND(#REF!,"AAAAAH1H/54=")</f>
        <v>#REF!</v>
      </c>
      <c r="FD12" t="e">
        <f>AND(#REF!,"AAAAAH1H/58=")</f>
        <v>#REF!</v>
      </c>
      <c r="FE12" t="e">
        <f>AND(#REF!,"AAAAAH1H/6A=")</f>
        <v>#REF!</v>
      </c>
      <c r="FF12" t="e">
        <f>AND(#REF!,"AAAAAH1H/6E=")</f>
        <v>#REF!</v>
      </c>
      <c r="FG12" t="e">
        <f>AND(#REF!,"AAAAAH1H/6I=")</f>
        <v>#REF!</v>
      </c>
      <c r="FH12" t="e">
        <f>AND(#REF!,"AAAAAH1H/6M=")</f>
        <v>#REF!</v>
      </c>
      <c r="FI12" t="e">
        <f>AND(#REF!,"AAAAAH1H/6Q=")</f>
        <v>#REF!</v>
      </c>
      <c r="FJ12" t="e">
        <f>IF(#REF!,"AAAAAH1H/6U=",0)</f>
        <v>#REF!</v>
      </c>
      <c r="FK12" t="e">
        <f>AND(#REF!,"AAAAAH1H/6Y=")</f>
        <v>#REF!</v>
      </c>
      <c r="FL12" t="e">
        <f>AND(#REF!,"AAAAAH1H/6c=")</f>
        <v>#REF!</v>
      </c>
      <c r="FM12" t="e">
        <f>AND(#REF!,"AAAAAH1H/6g=")</f>
        <v>#REF!</v>
      </c>
      <c r="FN12" t="e">
        <f>AND(#REF!,"AAAAAH1H/6k=")</f>
        <v>#REF!</v>
      </c>
      <c r="FO12" t="e">
        <f>AND(#REF!,"AAAAAH1H/6o=")</f>
        <v>#REF!</v>
      </c>
      <c r="FP12" t="e">
        <f>AND(#REF!,"AAAAAH1H/6s=")</f>
        <v>#REF!</v>
      </c>
      <c r="FQ12" t="e">
        <f>AND(#REF!,"AAAAAH1H/6w=")</f>
        <v>#REF!</v>
      </c>
      <c r="FR12" t="e">
        <f>AND(#REF!,"AAAAAH1H/60=")</f>
        <v>#REF!</v>
      </c>
      <c r="FS12" t="e">
        <f>AND(#REF!,"AAAAAH1H/64=")</f>
        <v>#REF!</v>
      </c>
      <c r="FT12" t="e">
        <f>AND(#REF!,"AAAAAH1H/68=")</f>
        <v>#REF!</v>
      </c>
      <c r="FU12" t="e">
        <f>AND(#REF!,"AAAAAH1H/7A=")</f>
        <v>#REF!</v>
      </c>
      <c r="FV12" t="e">
        <f>AND(#REF!,"AAAAAH1H/7E=")</f>
        <v>#REF!</v>
      </c>
      <c r="FW12" t="e">
        <f>IF(#REF!,"AAAAAH1H/7I=",0)</f>
        <v>#REF!</v>
      </c>
      <c r="FX12" t="e">
        <f>AND(#REF!,"AAAAAH1H/7M=")</f>
        <v>#REF!</v>
      </c>
      <c r="FY12" t="e">
        <f>AND(#REF!,"AAAAAH1H/7Q=")</f>
        <v>#REF!</v>
      </c>
      <c r="FZ12" t="e">
        <f>AND(#REF!,"AAAAAH1H/7U=")</f>
        <v>#REF!</v>
      </c>
      <c r="GA12" t="e">
        <f>AND(#REF!,"AAAAAH1H/7Y=")</f>
        <v>#REF!</v>
      </c>
      <c r="GB12" t="e">
        <f>AND(#REF!,"AAAAAH1H/7c=")</f>
        <v>#REF!</v>
      </c>
      <c r="GC12" t="e">
        <f>AND(#REF!,"AAAAAH1H/7g=")</f>
        <v>#REF!</v>
      </c>
      <c r="GD12" t="e">
        <f>AND(#REF!,"AAAAAH1H/7k=")</f>
        <v>#REF!</v>
      </c>
      <c r="GE12" t="e">
        <f>AND(#REF!,"AAAAAH1H/7o=")</f>
        <v>#REF!</v>
      </c>
      <c r="GF12" t="e">
        <f>AND(#REF!,"AAAAAH1H/7s=")</f>
        <v>#REF!</v>
      </c>
      <c r="GG12" t="e">
        <f>AND(#REF!,"AAAAAH1H/7w=")</f>
        <v>#REF!</v>
      </c>
      <c r="GH12" t="e">
        <f>AND(#REF!,"AAAAAH1H/70=")</f>
        <v>#REF!</v>
      </c>
      <c r="GI12" t="e">
        <f>AND(#REF!,"AAAAAH1H/74=")</f>
        <v>#REF!</v>
      </c>
      <c r="GJ12" t="e">
        <f>IF(#REF!,"AAAAAH1H/78=",0)</f>
        <v>#REF!</v>
      </c>
      <c r="GK12" t="e">
        <f>AND(#REF!,"AAAAAH1H/8A=")</f>
        <v>#REF!</v>
      </c>
      <c r="GL12" t="e">
        <f>AND(#REF!,"AAAAAH1H/8E=")</f>
        <v>#REF!</v>
      </c>
      <c r="GM12" t="e">
        <f>AND(#REF!,"AAAAAH1H/8I=")</f>
        <v>#REF!</v>
      </c>
      <c r="GN12" t="e">
        <f>AND(#REF!,"AAAAAH1H/8M=")</f>
        <v>#REF!</v>
      </c>
      <c r="GO12" t="e">
        <f>AND(#REF!,"AAAAAH1H/8Q=")</f>
        <v>#REF!</v>
      </c>
      <c r="GP12" t="e">
        <f>AND(#REF!,"AAAAAH1H/8U=")</f>
        <v>#REF!</v>
      </c>
      <c r="GQ12" t="e">
        <f>AND(#REF!,"AAAAAH1H/8Y=")</f>
        <v>#REF!</v>
      </c>
      <c r="GR12" t="e">
        <f>AND(#REF!,"AAAAAH1H/8c=")</f>
        <v>#REF!</v>
      </c>
      <c r="GS12" t="e">
        <f>AND(#REF!,"AAAAAH1H/8g=")</f>
        <v>#REF!</v>
      </c>
      <c r="GT12" t="e">
        <f>AND(#REF!,"AAAAAH1H/8k=")</f>
        <v>#REF!</v>
      </c>
      <c r="GU12" t="e">
        <f>AND(#REF!,"AAAAAH1H/8o=")</f>
        <v>#REF!</v>
      </c>
      <c r="GV12" t="e">
        <f>AND(#REF!,"AAAAAH1H/8s=")</f>
        <v>#REF!</v>
      </c>
      <c r="GW12" t="e">
        <f>IF(#REF!,"AAAAAH1H/8w=",0)</f>
        <v>#REF!</v>
      </c>
      <c r="GX12" t="e">
        <f>AND(#REF!,"AAAAAH1H/80=")</f>
        <v>#REF!</v>
      </c>
      <c r="GY12" t="e">
        <f>AND(#REF!,"AAAAAH1H/84=")</f>
        <v>#REF!</v>
      </c>
      <c r="GZ12" t="e">
        <f>AND(#REF!,"AAAAAH1H/88=")</f>
        <v>#REF!</v>
      </c>
      <c r="HA12" t="e">
        <f>AND(#REF!,"AAAAAH1H/9A=")</f>
        <v>#REF!</v>
      </c>
      <c r="HB12" t="e">
        <f>AND(#REF!,"AAAAAH1H/9E=")</f>
        <v>#REF!</v>
      </c>
      <c r="HC12" t="e">
        <f>AND(#REF!,"AAAAAH1H/9I=")</f>
        <v>#REF!</v>
      </c>
      <c r="HD12" t="e">
        <f>AND(#REF!,"AAAAAH1H/9M=")</f>
        <v>#REF!</v>
      </c>
      <c r="HE12" t="e">
        <f>AND(#REF!,"AAAAAH1H/9Q=")</f>
        <v>#REF!</v>
      </c>
      <c r="HF12" t="e">
        <f>AND(#REF!,"AAAAAH1H/9U=")</f>
        <v>#REF!</v>
      </c>
      <c r="HG12" t="e">
        <f>AND(#REF!,"AAAAAH1H/9Y=")</f>
        <v>#REF!</v>
      </c>
      <c r="HH12" t="e">
        <f>AND(#REF!,"AAAAAH1H/9c=")</f>
        <v>#REF!</v>
      </c>
      <c r="HI12" t="e">
        <f>AND(#REF!,"AAAAAH1H/9g=")</f>
        <v>#REF!</v>
      </c>
      <c r="HJ12" t="e">
        <f>IF(#REF!,"AAAAAH1H/9k=",0)</f>
        <v>#REF!</v>
      </c>
      <c r="HK12" t="e">
        <f>AND(#REF!,"AAAAAH1H/9o=")</f>
        <v>#REF!</v>
      </c>
      <c r="HL12" t="e">
        <f>AND(#REF!,"AAAAAH1H/9s=")</f>
        <v>#REF!</v>
      </c>
      <c r="HM12" t="e">
        <f>AND(#REF!,"AAAAAH1H/9w=")</f>
        <v>#REF!</v>
      </c>
      <c r="HN12" t="e">
        <f>AND(#REF!,"AAAAAH1H/90=")</f>
        <v>#REF!</v>
      </c>
      <c r="HO12" t="e">
        <f>AND(#REF!,"AAAAAH1H/94=")</f>
        <v>#REF!</v>
      </c>
      <c r="HP12" t="e">
        <f>AND(#REF!,"AAAAAH1H/98=")</f>
        <v>#REF!</v>
      </c>
      <c r="HQ12" t="e">
        <f>AND(#REF!,"AAAAAH1H/+A=")</f>
        <v>#REF!</v>
      </c>
      <c r="HR12" t="e">
        <f>AND(#REF!,"AAAAAH1H/+E=")</f>
        <v>#REF!</v>
      </c>
      <c r="HS12" t="e">
        <f>AND(#REF!,"AAAAAH1H/+I=")</f>
        <v>#REF!</v>
      </c>
      <c r="HT12" t="e">
        <f>AND(#REF!,"AAAAAH1H/+M=")</f>
        <v>#REF!</v>
      </c>
      <c r="HU12" t="e">
        <f>AND(#REF!,"AAAAAH1H/+Q=")</f>
        <v>#REF!</v>
      </c>
      <c r="HV12" t="e">
        <f>AND(#REF!,"AAAAAH1H/+U=")</f>
        <v>#REF!</v>
      </c>
      <c r="HW12" t="e">
        <f>IF(#REF!,"AAAAAH1H/+Y=",0)</f>
        <v>#REF!</v>
      </c>
      <c r="HX12" t="e">
        <f>AND(#REF!,"AAAAAH1H/+c=")</f>
        <v>#REF!</v>
      </c>
      <c r="HY12" t="e">
        <f>AND(#REF!,"AAAAAH1H/+g=")</f>
        <v>#REF!</v>
      </c>
      <c r="HZ12" t="e">
        <f>AND(#REF!,"AAAAAH1H/+k=")</f>
        <v>#REF!</v>
      </c>
      <c r="IA12" t="e">
        <f>AND(#REF!,"AAAAAH1H/+o=")</f>
        <v>#REF!</v>
      </c>
      <c r="IB12" t="e">
        <f>AND(#REF!,"AAAAAH1H/+s=")</f>
        <v>#REF!</v>
      </c>
      <c r="IC12" t="e">
        <f>AND(#REF!,"AAAAAH1H/+w=")</f>
        <v>#REF!</v>
      </c>
      <c r="ID12" t="e">
        <f>AND(#REF!,"AAAAAH1H/+0=")</f>
        <v>#REF!</v>
      </c>
      <c r="IE12" t="e">
        <f>AND(#REF!,"AAAAAH1H/+4=")</f>
        <v>#REF!</v>
      </c>
      <c r="IF12" t="e">
        <f>AND(#REF!,"AAAAAH1H/+8=")</f>
        <v>#REF!</v>
      </c>
      <c r="IG12" t="e">
        <f>AND(#REF!,"AAAAAH1H//A=")</f>
        <v>#REF!</v>
      </c>
      <c r="IH12" t="e">
        <f>AND(#REF!,"AAAAAH1H//E=")</f>
        <v>#REF!</v>
      </c>
      <c r="II12" t="e">
        <f>AND(#REF!,"AAAAAH1H//I=")</f>
        <v>#REF!</v>
      </c>
      <c r="IJ12" t="e">
        <f>IF(#REF!,"AAAAAH1H//M=",0)</f>
        <v>#REF!</v>
      </c>
      <c r="IK12" t="e">
        <f>AND(#REF!,"AAAAAH1H//Q=")</f>
        <v>#REF!</v>
      </c>
      <c r="IL12" t="e">
        <f>AND(#REF!,"AAAAAH1H//U=")</f>
        <v>#REF!</v>
      </c>
      <c r="IM12" t="e">
        <f>AND(#REF!,"AAAAAH1H//Y=")</f>
        <v>#REF!</v>
      </c>
      <c r="IN12" t="e">
        <f>AND(#REF!,"AAAAAH1H//c=")</f>
        <v>#REF!</v>
      </c>
      <c r="IO12" t="e">
        <f>AND(#REF!,"AAAAAH1H//g=")</f>
        <v>#REF!</v>
      </c>
      <c r="IP12" t="e">
        <f>AND(#REF!,"AAAAAH1H//k=")</f>
        <v>#REF!</v>
      </c>
      <c r="IQ12" t="e">
        <f>AND(#REF!,"AAAAAH1H//o=")</f>
        <v>#REF!</v>
      </c>
      <c r="IR12" t="e">
        <f>AND(#REF!,"AAAAAH1H//s=")</f>
        <v>#REF!</v>
      </c>
      <c r="IS12" t="e">
        <f>AND(#REF!,"AAAAAH1H//w=")</f>
        <v>#REF!</v>
      </c>
      <c r="IT12" t="e">
        <f>AND(#REF!,"AAAAAH1H//0=")</f>
        <v>#REF!</v>
      </c>
      <c r="IU12" t="e">
        <f>AND(#REF!,"AAAAAH1H//4=")</f>
        <v>#REF!</v>
      </c>
      <c r="IV12" t="e">
        <f>AND(#REF!,"AAAAAH1H//8=")</f>
        <v>#REF!</v>
      </c>
    </row>
    <row r="13" spans="1:256">
      <c r="A13" t="e">
        <f>IF(#REF!,"AAAAAHXsvQA=",0)</f>
        <v>#REF!</v>
      </c>
      <c r="B13" t="e">
        <f>AND(#REF!,"AAAAAHXsvQE=")</f>
        <v>#REF!</v>
      </c>
      <c r="C13" t="e">
        <f>AND(#REF!,"AAAAAHXsvQI=")</f>
        <v>#REF!</v>
      </c>
      <c r="D13" t="e">
        <f>AND(#REF!,"AAAAAHXsvQM=")</f>
        <v>#REF!</v>
      </c>
      <c r="E13" t="e">
        <f>AND(#REF!,"AAAAAHXsvQQ=")</f>
        <v>#REF!</v>
      </c>
      <c r="F13" t="e">
        <f>AND(#REF!,"AAAAAHXsvQU=")</f>
        <v>#REF!</v>
      </c>
      <c r="G13" t="e">
        <f>AND(#REF!,"AAAAAHXsvQY=")</f>
        <v>#REF!</v>
      </c>
      <c r="H13" t="e">
        <f>AND(#REF!,"AAAAAHXsvQc=")</f>
        <v>#REF!</v>
      </c>
      <c r="I13" t="e">
        <f>AND(#REF!,"AAAAAHXsvQg=")</f>
        <v>#REF!</v>
      </c>
      <c r="J13" t="e">
        <f>AND(#REF!,"AAAAAHXsvQk=")</f>
        <v>#REF!</v>
      </c>
      <c r="K13" t="e">
        <f>AND(#REF!,"AAAAAHXsvQo=")</f>
        <v>#REF!</v>
      </c>
      <c r="L13" t="e">
        <f>AND(#REF!,"AAAAAHXsvQs=")</f>
        <v>#REF!</v>
      </c>
      <c r="M13" t="e">
        <f>AND(#REF!,"AAAAAHXsvQw=")</f>
        <v>#REF!</v>
      </c>
      <c r="N13" t="e">
        <f>IF(#REF!,"AAAAAHXsvQ0=",0)</f>
        <v>#REF!</v>
      </c>
      <c r="O13" t="e">
        <f>AND(#REF!,"AAAAAHXsvQ4=")</f>
        <v>#REF!</v>
      </c>
      <c r="P13" t="e">
        <f>AND(#REF!,"AAAAAHXsvQ8=")</f>
        <v>#REF!</v>
      </c>
      <c r="Q13" t="e">
        <f>AND(#REF!,"AAAAAHXsvRA=")</f>
        <v>#REF!</v>
      </c>
      <c r="R13" t="e">
        <f>AND(#REF!,"AAAAAHXsvRE=")</f>
        <v>#REF!</v>
      </c>
      <c r="S13" t="e">
        <f>AND(#REF!,"AAAAAHXsvRI=")</f>
        <v>#REF!</v>
      </c>
      <c r="T13" t="e">
        <f>AND(#REF!,"AAAAAHXsvRM=")</f>
        <v>#REF!</v>
      </c>
      <c r="U13" t="e">
        <f>AND(#REF!,"AAAAAHXsvRQ=")</f>
        <v>#REF!</v>
      </c>
      <c r="V13" t="e">
        <f>AND(#REF!,"AAAAAHXsvRU=")</f>
        <v>#REF!</v>
      </c>
      <c r="W13" t="e">
        <f>AND(#REF!,"AAAAAHXsvRY=")</f>
        <v>#REF!</v>
      </c>
      <c r="X13" t="e">
        <f>AND(#REF!,"AAAAAHXsvRc=")</f>
        <v>#REF!</v>
      </c>
      <c r="Y13" t="e">
        <f>AND(#REF!,"AAAAAHXsvRg=")</f>
        <v>#REF!</v>
      </c>
      <c r="Z13" t="e">
        <f>AND(#REF!,"AAAAAHXsvRk=")</f>
        <v>#REF!</v>
      </c>
      <c r="AA13" t="e">
        <f>IF(#REF!,"AAAAAHXsvRo=",0)</f>
        <v>#REF!</v>
      </c>
      <c r="AB13" t="e">
        <f>AND(#REF!,"AAAAAHXsvRs=")</f>
        <v>#REF!</v>
      </c>
      <c r="AC13" t="e">
        <f>AND(#REF!,"AAAAAHXsvRw=")</f>
        <v>#REF!</v>
      </c>
      <c r="AD13" t="e">
        <f>AND(#REF!,"AAAAAHXsvR0=")</f>
        <v>#REF!</v>
      </c>
      <c r="AE13" t="e">
        <f>AND(#REF!,"AAAAAHXsvR4=")</f>
        <v>#REF!</v>
      </c>
      <c r="AF13" t="e">
        <f>AND(#REF!,"AAAAAHXsvR8=")</f>
        <v>#REF!</v>
      </c>
      <c r="AG13" t="e">
        <f>AND(#REF!,"AAAAAHXsvSA=")</f>
        <v>#REF!</v>
      </c>
      <c r="AH13" t="e">
        <f>AND(#REF!,"AAAAAHXsvSE=")</f>
        <v>#REF!</v>
      </c>
      <c r="AI13" t="e">
        <f>AND(#REF!,"AAAAAHXsvSI=")</f>
        <v>#REF!</v>
      </c>
      <c r="AJ13" t="e">
        <f>AND(#REF!,"AAAAAHXsvSM=")</f>
        <v>#REF!</v>
      </c>
      <c r="AK13" t="e">
        <f>AND(#REF!,"AAAAAHXsvSQ=")</f>
        <v>#REF!</v>
      </c>
      <c r="AL13" t="e">
        <f>AND(#REF!,"AAAAAHXsvSU=")</f>
        <v>#REF!</v>
      </c>
      <c r="AM13" t="e">
        <f>AND(#REF!,"AAAAAHXsvSY=")</f>
        <v>#REF!</v>
      </c>
      <c r="AN13" t="e">
        <f>IF(#REF!,"AAAAAHXsvSc=",0)</f>
        <v>#REF!</v>
      </c>
      <c r="AO13" t="e">
        <f>AND(#REF!,"AAAAAHXsvSg=")</f>
        <v>#REF!</v>
      </c>
      <c r="AP13" t="e">
        <f>AND(#REF!,"AAAAAHXsvSk=")</f>
        <v>#REF!</v>
      </c>
      <c r="AQ13" t="e">
        <f>AND(#REF!,"AAAAAHXsvSo=")</f>
        <v>#REF!</v>
      </c>
      <c r="AR13" t="e">
        <f>AND(#REF!,"AAAAAHXsvSs=")</f>
        <v>#REF!</v>
      </c>
      <c r="AS13" t="e">
        <f>AND(#REF!,"AAAAAHXsvSw=")</f>
        <v>#REF!</v>
      </c>
      <c r="AT13" t="e">
        <f>AND(#REF!,"AAAAAHXsvS0=")</f>
        <v>#REF!</v>
      </c>
      <c r="AU13" t="e">
        <f>AND(#REF!,"AAAAAHXsvS4=")</f>
        <v>#REF!</v>
      </c>
      <c r="AV13" t="e">
        <f>AND(#REF!,"AAAAAHXsvS8=")</f>
        <v>#REF!</v>
      </c>
      <c r="AW13" t="e">
        <f>AND(#REF!,"AAAAAHXsvTA=")</f>
        <v>#REF!</v>
      </c>
      <c r="AX13" t="e">
        <f>AND(#REF!,"AAAAAHXsvTE=")</f>
        <v>#REF!</v>
      </c>
      <c r="AY13" t="e">
        <f>AND(#REF!,"AAAAAHXsvTI=")</f>
        <v>#REF!</v>
      </c>
      <c r="AZ13" t="e">
        <f>AND(#REF!,"AAAAAHXsvTM=")</f>
        <v>#REF!</v>
      </c>
      <c r="BA13" t="e">
        <f>IF(#REF!,"AAAAAHXsvTQ=",0)</f>
        <v>#REF!</v>
      </c>
      <c r="BB13" t="e">
        <f>AND(#REF!,"AAAAAHXsvTU=")</f>
        <v>#REF!</v>
      </c>
      <c r="BC13" t="e">
        <f>AND(#REF!,"AAAAAHXsvTY=")</f>
        <v>#REF!</v>
      </c>
      <c r="BD13" t="e">
        <f>AND(#REF!,"AAAAAHXsvTc=")</f>
        <v>#REF!</v>
      </c>
      <c r="BE13" t="e">
        <f>AND(#REF!,"AAAAAHXsvTg=")</f>
        <v>#REF!</v>
      </c>
      <c r="BF13" t="e">
        <f>AND(#REF!,"AAAAAHXsvTk=")</f>
        <v>#REF!</v>
      </c>
      <c r="BG13" t="e">
        <f>AND(#REF!,"AAAAAHXsvTo=")</f>
        <v>#REF!</v>
      </c>
      <c r="BH13" t="e">
        <f>AND(#REF!,"AAAAAHXsvTs=")</f>
        <v>#REF!</v>
      </c>
      <c r="BI13" t="e">
        <f>AND(#REF!,"AAAAAHXsvTw=")</f>
        <v>#REF!</v>
      </c>
      <c r="BJ13" t="e">
        <f>AND(#REF!,"AAAAAHXsvT0=")</f>
        <v>#REF!</v>
      </c>
      <c r="BK13" t="e">
        <f>AND(#REF!,"AAAAAHXsvT4=")</f>
        <v>#REF!</v>
      </c>
      <c r="BL13" t="e">
        <f>AND(#REF!,"AAAAAHXsvT8=")</f>
        <v>#REF!</v>
      </c>
      <c r="BM13" t="e">
        <f>AND(#REF!,"AAAAAHXsvUA=")</f>
        <v>#REF!</v>
      </c>
      <c r="BN13" t="e">
        <f>IF(#REF!,"AAAAAHXsvUE=",0)</f>
        <v>#REF!</v>
      </c>
      <c r="BO13" t="e">
        <f>AND(#REF!,"AAAAAHXsvUI=")</f>
        <v>#REF!</v>
      </c>
      <c r="BP13" t="e">
        <f>AND(#REF!,"AAAAAHXsvUM=")</f>
        <v>#REF!</v>
      </c>
      <c r="BQ13" t="e">
        <f>AND(#REF!,"AAAAAHXsvUQ=")</f>
        <v>#REF!</v>
      </c>
      <c r="BR13" t="e">
        <f>AND(#REF!,"AAAAAHXsvUU=")</f>
        <v>#REF!</v>
      </c>
      <c r="BS13" t="e">
        <f>AND(#REF!,"AAAAAHXsvUY=")</f>
        <v>#REF!</v>
      </c>
      <c r="BT13" t="e">
        <f>AND(#REF!,"AAAAAHXsvUc=")</f>
        <v>#REF!</v>
      </c>
      <c r="BU13" t="e">
        <f>AND(#REF!,"AAAAAHXsvUg=")</f>
        <v>#REF!</v>
      </c>
      <c r="BV13" t="e">
        <f>AND(#REF!,"AAAAAHXsvUk=")</f>
        <v>#REF!</v>
      </c>
      <c r="BW13" t="e">
        <f>AND(#REF!,"AAAAAHXsvUo=")</f>
        <v>#REF!</v>
      </c>
      <c r="BX13" t="e">
        <f>AND(#REF!,"AAAAAHXsvUs=")</f>
        <v>#REF!</v>
      </c>
      <c r="BY13" t="e">
        <f>AND(#REF!,"AAAAAHXsvUw=")</f>
        <v>#REF!</v>
      </c>
      <c r="BZ13" t="e">
        <f>AND(#REF!,"AAAAAHXsvU0=")</f>
        <v>#REF!</v>
      </c>
      <c r="CA13" t="e">
        <f>IF(#REF!,"AAAAAHXsvU4=",0)</f>
        <v>#REF!</v>
      </c>
      <c r="CB13" t="e">
        <f>AND(#REF!,"AAAAAHXsvU8=")</f>
        <v>#REF!</v>
      </c>
      <c r="CC13" t="e">
        <f>AND(#REF!,"AAAAAHXsvVA=")</f>
        <v>#REF!</v>
      </c>
      <c r="CD13" t="e">
        <f>AND(#REF!,"AAAAAHXsvVE=")</f>
        <v>#REF!</v>
      </c>
      <c r="CE13" t="e">
        <f>AND(#REF!,"AAAAAHXsvVI=")</f>
        <v>#REF!</v>
      </c>
      <c r="CF13" t="e">
        <f>AND(#REF!,"AAAAAHXsvVM=")</f>
        <v>#REF!</v>
      </c>
      <c r="CG13" t="e">
        <f>AND(#REF!,"AAAAAHXsvVQ=")</f>
        <v>#REF!</v>
      </c>
      <c r="CH13" t="e">
        <f>AND(#REF!,"AAAAAHXsvVU=")</f>
        <v>#REF!</v>
      </c>
      <c r="CI13" t="e">
        <f>AND(#REF!,"AAAAAHXsvVY=")</f>
        <v>#REF!</v>
      </c>
      <c r="CJ13" t="e">
        <f>AND(#REF!,"AAAAAHXsvVc=")</f>
        <v>#REF!</v>
      </c>
      <c r="CK13" t="e">
        <f>AND(#REF!,"AAAAAHXsvVg=")</f>
        <v>#REF!</v>
      </c>
      <c r="CL13" t="e">
        <f>AND(#REF!,"AAAAAHXsvVk=")</f>
        <v>#REF!</v>
      </c>
      <c r="CM13" t="e">
        <f>AND(#REF!,"AAAAAHXsvVo=")</f>
        <v>#REF!</v>
      </c>
      <c r="CN13" t="e">
        <f>IF(#REF!,"AAAAAHXsvVs=",0)</f>
        <v>#REF!</v>
      </c>
      <c r="CO13" t="e">
        <f>AND(#REF!,"AAAAAHXsvVw=")</f>
        <v>#REF!</v>
      </c>
      <c r="CP13" t="e">
        <f>AND(#REF!,"AAAAAHXsvV0=")</f>
        <v>#REF!</v>
      </c>
      <c r="CQ13" t="e">
        <f>AND(#REF!,"AAAAAHXsvV4=")</f>
        <v>#REF!</v>
      </c>
      <c r="CR13" t="e">
        <f>AND(#REF!,"AAAAAHXsvV8=")</f>
        <v>#REF!</v>
      </c>
      <c r="CS13" t="e">
        <f>AND(#REF!,"AAAAAHXsvWA=")</f>
        <v>#REF!</v>
      </c>
      <c r="CT13" t="e">
        <f>AND(#REF!,"AAAAAHXsvWE=")</f>
        <v>#REF!</v>
      </c>
      <c r="CU13" t="e">
        <f>AND(#REF!,"AAAAAHXsvWI=")</f>
        <v>#REF!</v>
      </c>
      <c r="CV13" t="e">
        <f>AND(#REF!,"AAAAAHXsvWM=")</f>
        <v>#REF!</v>
      </c>
      <c r="CW13" t="e">
        <f>AND(#REF!,"AAAAAHXsvWQ=")</f>
        <v>#REF!</v>
      </c>
      <c r="CX13" t="e">
        <f>AND(#REF!,"AAAAAHXsvWU=")</f>
        <v>#REF!</v>
      </c>
      <c r="CY13" t="e">
        <f>AND(#REF!,"AAAAAHXsvWY=")</f>
        <v>#REF!</v>
      </c>
      <c r="CZ13" t="e">
        <f>AND(#REF!,"AAAAAHXsvWc=")</f>
        <v>#REF!</v>
      </c>
      <c r="DA13" t="e">
        <f>IF(#REF!,"AAAAAHXsvWg=",0)</f>
        <v>#REF!</v>
      </c>
      <c r="DB13" t="e">
        <f>AND(#REF!,"AAAAAHXsvWk=")</f>
        <v>#REF!</v>
      </c>
      <c r="DC13" t="e">
        <f>AND(#REF!,"AAAAAHXsvWo=")</f>
        <v>#REF!</v>
      </c>
      <c r="DD13" t="e">
        <f>AND(#REF!,"AAAAAHXsvWs=")</f>
        <v>#REF!</v>
      </c>
      <c r="DE13" t="e">
        <f>AND(#REF!,"AAAAAHXsvWw=")</f>
        <v>#REF!</v>
      </c>
      <c r="DF13" t="e">
        <f>AND(#REF!,"AAAAAHXsvW0=")</f>
        <v>#REF!</v>
      </c>
      <c r="DG13" t="e">
        <f>AND(#REF!,"AAAAAHXsvW4=")</f>
        <v>#REF!</v>
      </c>
      <c r="DH13" t="e">
        <f>AND(#REF!,"AAAAAHXsvW8=")</f>
        <v>#REF!</v>
      </c>
      <c r="DI13" t="e">
        <f>AND(#REF!,"AAAAAHXsvXA=")</f>
        <v>#REF!</v>
      </c>
      <c r="DJ13" t="e">
        <f>AND(#REF!,"AAAAAHXsvXE=")</f>
        <v>#REF!</v>
      </c>
      <c r="DK13" t="e">
        <f>AND(#REF!,"AAAAAHXsvXI=")</f>
        <v>#REF!</v>
      </c>
      <c r="DL13" t="e">
        <f>AND(#REF!,"AAAAAHXsvXM=")</f>
        <v>#REF!</v>
      </c>
      <c r="DM13" t="e">
        <f>AND(#REF!,"AAAAAHXsvXQ=")</f>
        <v>#REF!</v>
      </c>
      <c r="DN13" t="e">
        <f>IF(#REF!,"AAAAAHXsvXU=",0)</f>
        <v>#REF!</v>
      </c>
      <c r="DO13" t="e">
        <f>AND(#REF!,"AAAAAHXsvXY=")</f>
        <v>#REF!</v>
      </c>
      <c r="DP13" t="e">
        <f>AND(#REF!,"AAAAAHXsvXc=")</f>
        <v>#REF!</v>
      </c>
      <c r="DQ13" t="e">
        <f>AND(#REF!,"AAAAAHXsvXg=")</f>
        <v>#REF!</v>
      </c>
      <c r="DR13" t="e">
        <f>AND(#REF!,"AAAAAHXsvXk=")</f>
        <v>#REF!</v>
      </c>
      <c r="DS13" t="e">
        <f>AND(#REF!,"AAAAAHXsvXo=")</f>
        <v>#REF!</v>
      </c>
      <c r="DT13" t="e">
        <f>AND(#REF!,"AAAAAHXsvXs=")</f>
        <v>#REF!</v>
      </c>
      <c r="DU13" t="e">
        <f>AND(#REF!,"AAAAAHXsvXw=")</f>
        <v>#REF!</v>
      </c>
      <c r="DV13" t="e">
        <f>AND(#REF!,"AAAAAHXsvX0=")</f>
        <v>#REF!</v>
      </c>
      <c r="DW13" t="e">
        <f>AND(#REF!,"AAAAAHXsvX4=")</f>
        <v>#REF!</v>
      </c>
      <c r="DX13" t="e">
        <f>AND(#REF!,"AAAAAHXsvX8=")</f>
        <v>#REF!</v>
      </c>
      <c r="DY13" t="e">
        <f>AND(#REF!,"AAAAAHXsvYA=")</f>
        <v>#REF!</v>
      </c>
      <c r="DZ13" t="e">
        <f>AND(#REF!,"AAAAAHXsvYE=")</f>
        <v>#REF!</v>
      </c>
      <c r="EA13" t="e">
        <f>IF(#REF!,"AAAAAHXsvYI=",0)</f>
        <v>#REF!</v>
      </c>
      <c r="EB13" t="e">
        <f>AND(#REF!,"AAAAAHXsvYM=")</f>
        <v>#REF!</v>
      </c>
      <c r="EC13" t="e">
        <f>AND(#REF!,"AAAAAHXsvYQ=")</f>
        <v>#REF!</v>
      </c>
      <c r="ED13" t="e">
        <f>AND(#REF!,"AAAAAHXsvYU=")</f>
        <v>#REF!</v>
      </c>
      <c r="EE13" t="e">
        <f>AND(#REF!,"AAAAAHXsvYY=")</f>
        <v>#REF!</v>
      </c>
      <c r="EF13" t="e">
        <f>AND(#REF!,"AAAAAHXsvYc=")</f>
        <v>#REF!</v>
      </c>
      <c r="EG13" t="e">
        <f>AND(#REF!,"AAAAAHXsvYg=")</f>
        <v>#REF!</v>
      </c>
      <c r="EH13" t="e">
        <f>AND(#REF!,"AAAAAHXsvYk=")</f>
        <v>#REF!</v>
      </c>
      <c r="EI13" t="e">
        <f>AND(#REF!,"AAAAAHXsvYo=")</f>
        <v>#REF!</v>
      </c>
      <c r="EJ13" t="e">
        <f>AND(#REF!,"AAAAAHXsvYs=")</f>
        <v>#REF!</v>
      </c>
      <c r="EK13" t="e">
        <f>AND(#REF!,"AAAAAHXsvYw=")</f>
        <v>#REF!</v>
      </c>
      <c r="EL13" t="e">
        <f>AND(#REF!,"AAAAAHXsvY0=")</f>
        <v>#REF!</v>
      </c>
      <c r="EM13" t="e">
        <f>AND(#REF!,"AAAAAHXsvY4=")</f>
        <v>#REF!</v>
      </c>
      <c r="EN13" t="e">
        <f>IF(#REF!,"AAAAAHXsvY8=",0)</f>
        <v>#REF!</v>
      </c>
      <c r="EO13" t="e">
        <f>AND(#REF!,"AAAAAHXsvZA=")</f>
        <v>#REF!</v>
      </c>
      <c r="EP13" t="e">
        <f>AND(#REF!,"AAAAAHXsvZE=")</f>
        <v>#REF!</v>
      </c>
      <c r="EQ13" t="e">
        <f>AND(#REF!,"AAAAAHXsvZI=")</f>
        <v>#REF!</v>
      </c>
      <c r="ER13" t="e">
        <f>AND(#REF!,"AAAAAHXsvZM=")</f>
        <v>#REF!</v>
      </c>
      <c r="ES13" t="e">
        <f>AND(#REF!,"AAAAAHXsvZQ=")</f>
        <v>#REF!</v>
      </c>
      <c r="ET13" t="e">
        <f>AND(#REF!,"AAAAAHXsvZU=")</f>
        <v>#REF!</v>
      </c>
      <c r="EU13" t="e">
        <f>AND(#REF!,"AAAAAHXsvZY=")</f>
        <v>#REF!</v>
      </c>
      <c r="EV13" t="e">
        <f>AND(#REF!,"AAAAAHXsvZc=")</f>
        <v>#REF!</v>
      </c>
      <c r="EW13" t="e">
        <f>AND(#REF!,"AAAAAHXsvZg=")</f>
        <v>#REF!</v>
      </c>
      <c r="EX13" t="e">
        <f>AND(#REF!,"AAAAAHXsvZk=")</f>
        <v>#REF!</v>
      </c>
      <c r="EY13" t="e">
        <f>AND(#REF!,"AAAAAHXsvZo=")</f>
        <v>#REF!</v>
      </c>
      <c r="EZ13" t="e">
        <f>AND(#REF!,"AAAAAHXsvZs=")</f>
        <v>#REF!</v>
      </c>
      <c r="FA13" t="e">
        <f>IF(#REF!,"AAAAAHXsvZw=",0)</f>
        <v>#REF!</v>
      </c>
      <c r="FB13" t="e">
        <f>AND(#REF!,"AAAAAHXsvZ0=")</f>
        <v>#REF!</v>
      </c>
      <c r="FC13" t="e">
        <f>AND(#REF!,"AAAAAHXsvZ4=")</f>
        <v>#REF!</v>
      </c>
      <c r="FD13" t="e">
        <f>AND(#REF!,"AAAAAHXsvZ8=")</f>
        <v>#REF!</v>
      </c>
      <c r="FE13" t="e">
        <f>AND(#REF!,"AAAAAHXsvaA=")</f>
        <v>#REF!</v>
      </c>
      <c r="FF13" t="e">
        <f>AND(#REF!,"AAAAAHXsvaE=")</f>
        <v>#REF!</v>
      </c>
      <c r="FG13" t="e">
        <f>AND(#REF!,"AAAAAHXsvaI=")</f>
        <v>#REF!</v>
      </c>
      <c r="FH13" t="e">
        <f>AND(#REF!,"AAAAAHXsvaM=")</f>
        <v>#REF!</v>
      </c>
      <c r="FI13" t="e">
        <f>AND(#REF!,"AAAAAHXsvaQ=")</f>
        <v>#REF!</v>
      </c>
      <c r="FJ13" t="e">
        <f>AND(#REF!,"AAAAAHXsvaU=")</f>
        <v>#REF!</v>
      </c>
      <c r="FK13" t="e">
        <f>AND(#REF!,"AAAAAHXsvaY=")</f>
        <v>#REF!</v>
      </c>
      <c r="FL13" t="e">
        <f>AND(#REF!,"AAAAAHXsvac=")</f>
        <v>#REF!</v>
      </c>
      <c r="FM13" t="e">
        <f>AND(#REF!,"AAAAAHXsvag=")</f>
        <v>#REF!</v>
      </c>
      <c r="FN13" t="e">
        <f>IF(#REF!,"AAAAAHXsvak=",0)</f>
        <v>#REF!</v>
      </c>
      <c r="FO13" t="e">
        <f>AND(#REF!,"AAAAAHXsvao=")</f>
        <v>#REF!</v>
      </c>
      <c r="FP13" t="e">
        <f>AND(#REF!,"AAAAAHXsvas=")</f>
        <v>#REF!</v>
      </c>
      <c r="FQ13" t="e">
        <f>AND(#REF!,"AAAAAHXsvaw=")</f>
        <v>#REF!</v>
      </c>
      <c r="FR13" t="e">
        <f>AND(#REF!,"AAAAAHXsva0=")</f>
        <v>#REF!</v>
      </c>
      <c r="FS13" t="e">
        <f>AND(#REF!,"AAAAAHXsva4=")</f>
        <v>#REF!</v>
      </c>
      <c r="FT13" t="e">
        <f>AND(#REF!,"AAAAAHXsva8=")</f>
        <v>#REF!</v>
      </c>
      <c r="FU13" t="e">
        <f>AND(#REF!,"AAAAAHXsvbA=")</f>
        <v>#REF!</v>
      </c>
      <c r="FV13" t="e">
        <f>AND(#REF!,"AAAAAHXsvbE=")</f>
        <v>#REF!</v>
      </c>
      <c r="FW13" t="e">
        <f>AND(#REF!,"AAAAAHXsvbI=")</f>
        <v>#REF!</v>
      </c>
      <c r="FX13" t="e">
        <f>AND(#REF!,"AAAAAHXsvbM=")</f>
        <v>#REF!</v>
      </c>
      <c r="FY13" t="e">
        <f>AND(#REF!,"AAAAAHXsvbQ=")</f>
        <v>#REF!</v>
      </c>
      <c r="FZ13" t="e">
        <f>AND(#REF!,"AAAAAHXsvbU=")</f>
        <v>#REF!</v>
      </c>
      <c r="GA13" t="e">
        <f>IF(#REF!,"AAAAAHXsvbY=",0)</f>
        <v>#REF!</v>
      </c>
      <c r="GB13" t="e">
        <f>AND(#REF!,"AAAAAHXsvbc=")</f>
        <v>#REF!</v>
      </c>
      <c r="GC13" t="e">
        <f>AND(#REF!,"AAAAAHXsvbg=")</f>
        <v>#REF!</v>
      </c>
      <c r="GD13" t="e">
        <f>AND(#REF!,"AAAAAHXsvbk=")</f>
        <v>#REF!</v>
      </c>
      <c r="GE13" t="e">
        <f>AND(#REF!,"AAAAAHXsvbo=")</f>
        <v>#REF!</v>
      </c>
      <c r="GF13" t="e">
        <f>AND(#REF!,"AAAAAHXsvbs=")</f>
        <v>#REF!</v>
      </c>
      <c r="GG13" t="e">
        <f>AND(#REF!,"AAAAAHXsvbw=")</f>
        <v>#REF!</v>
      </c>
      <c r="GH13" t="e">
        <f>AND(#REF!,"AAAAAHXsvb0=")</f>
        <v>#REF!</v>
      </c>
      <c r="GI13" t="e">
        <f>AND(#REF!,"AAAAAHXsvb4=")</f>
        <v>#REF!</v>
      </c>
      <c r="GJ13" t="e">
        <f>AND(#REF!,"AAAAAHXsvb8=")</f>
        <v>#REF!</v>
      </c>
      <c r="GK13" t="e">
        <f>AND(#REF!,"AAAAAHXsvcA=")</f>
        <v>#REF!</v>
      </c>
      <c r="GL13" t="e">
        <f>AND(#REF!,"AAAAAHXsvcE=")</f>
        <v>#REF!</v>
      </c>
      <c r="GM13" t="e">
        <f>AND(#REF!,"AAAAAHXsvcI=")</f>
        <v>#REF!</v>
      </c>
      <c r="GN13" t="e">
        <f>IF(#REF!,"AAAAAHXsvcM=",0)</f>
        <v>#REF!</v>
      </c>
      <c r="GO13" t="e">
        <f>AND(#REF!,"AAAAAHXsvcQ=")</f>
        <v>#REF!</v>
      </c>
      <c r="GP13" t="e">
        <f>AND(#REF!,"AAAAAHXsvcU=")</f>
        <v>#REF!</v>
      </c>
      <c r="GQ13" t="e">
        <f>AND(#REF!,"AAAAAHXsvcY=")</f>
        <v>#REF!</v>
      </c>
      <c r="GR13" t="e">
        <f>AND(#REF!,"AAAAAHXsvcc=")</f>
        <v>#REF!</v>
      </c>
      <c r="GS13" t="e">
        <f>AND(#REF!,"AAAAAHXsvcg=")</f>
        <v>#REF!</v>
      </c>
      <c r="GT13" t="e">
        <f>AND(#REF!,"AAAAAHXsvck=")</f>
        <v>#REF!</v>
      </c>
      <c r="GU13" t="e">
        <f>AND(#REF!,"AAAAAHXsvco=")</f>
        <v>#REF!</v>
      </c>
      <c r="GV13" t="e">
        <f>AND(#REF!,"AAAAAHXsvcs=")</f>
        <v>#REF!</v>
      </c>
      <c r="GW13" t="e">
        <f>AND(#REF!,"AAAAAHXsvcw=")</f>
        <v>#REF!</v>
      </c>
      <c r="GX13" t="e">
        <f>AND(#REF!,"AAAAAHXsvc0=")</f>
        <v>#REF!</v>
      </c>
      <c r="GY13" t="e">
        <f>AND(#REF!,"AAAAAHXsvc4=")</f>
        <v>#REF!</v>
      </c>
      <c r="GZ13" t="e">
        <f>AND(#REF!,"AAAAAHXsvc8=")</f>
        <v>#REF!</v>
      </c>
      <c r="HA13" t="e">
        <f>IF(#REF!,"AAAAAHXsvdA=",0)</f>
        <v>#REF!</v>
      </c>
      <c r="HB13" t="e">
        <f>AND(#REF!,"AAAAAHXsvdE=")</f>
        <v>#REF!</v>
      </c>
      <c r="HC13" t="e">
        <f>AND(#REF!,"AAAAAHXsvdI=")</f>
        <v>#REF!</v>
      </c>
      <c r="HD13" t="e">
        <f>AND(#REF!,"AAAAAHXsvdM=")</f>
        <v>#REF!</v>
      </c>
      <c r="HE13" t="e">
        <f>AND(#REF!,"AAAAAHXsvdQ=")</f>
        <v>#REF!</v>
      </c>
      <c r="HF13" t="e">
        <f>AND(#REF!,"AAAAAHXsvdU=")</f>
        <v>#REF!</v>
      </c>
      <c r="HG13" t="e">
        <f>AND(#REF!,"AAAAAHXsvdY=")</f>
        <v>#REF!</v>
      </c>
      <c r="HH13" t="e">
        <f>AND(#REF!,"AAAAAHXsvdc=")</f>
        <v>#REF!</v>
      </c>
      <c r="HI13" t="e">
        <f>AND(#REF!,"AAAAAHXsvdg=")</f>
        <v>#REF!</v>
      </c>
      <c r="HJ13" t="e">
        <f>AND(#REF!,"AAAAAHXsvdk=")</f>
        <v>#REF!</v>
      </c>
      <c r="HK13" t="e">
        <f>AND(#REF!,"AAAAAHXsvdo=")</f>
        <v>#REF!</v>
      </c>
      <c r="HL13" t="e">
        <f>AND(#REF!,"AAAAAHXsvds=")</f>
        <v>#REF!</v>
      </c>
      <c r="HM13" t="e">
        <f>AND(#REF!,"AAAAAHXsvdw=")</f>
        <v>#REF!</v>
      </c>
      <c r="HN13" t="e">
        <f>IF(#REF!,"AAAAAHXsvd0=",0)</f>
        <v>#REF!</v>
      </c>
      <c r="HO13" t="e">
        <f>AND(#REF!,"AAAAAHXsvd4=")</f>
        <v>#REF!</v>
      </c>
      <c r="HP13" t="e">
        <f>AND(#REF!,"AAAAAHXsvd8=")</f>
        <v>#REF!</v>
      </c>
      <c r="HQ13" t="e">
        <f>AND(#REF!,"AAAAAHXsveA=")</f>
        <v>#REF!</v>
      </c>
      <c r="HR13" t="e">
        <f>AND(#REF!,"AAAAAHXsveE=")</f>
        <v>#REF!</v>
      </c>
      <c r="HS13" t="e">
        <f>AND(#REF!,"AAAAAHXsveI=")</f>
        <v>#REF!</v>
      </c>
      <c r="HT13" t="e">
        <f>AND(#REF!,"AAAAAHXsveM=")</f>
        <v>#REF!</v>
      </c>
      <c r="HU13" t="e">
        <f>AND(#REF!,"AAAAAHXsveQ=")</f>
        <v>#REF!</v>
      </c>
      <c r="HV13" t="e">
        <f>AND(#REF!,"AAAAAHXsveU=")</f>
        <v>#REF!</v>
      </c>
      <c r="HW13" t="e">
        <f>AND(#REF!,"AAAAAHXsveY=")</f>
        <v>#REF!</v>
      </c>
      <c r="HX13" t="e">
        <f>AND(#REF!,"AAAAAHXsvec=")</f>
        <v>#REF!</v>
      </c>
      <c r="HY13" t="e">
        <f>AND(#REF!,"AAAAAHXsveg=")</f>
        <v>#REF!</v>
      </c>
      <c r="HZ13" t="e">
        <f>AND(#REF!,"AAAAAHXsvek=")</f>
        <v>#REF!</v>
      </c>
      <c r="IA13" t="e">
        <f>IF(#REF!,"AAAAAHXsveo=",0)</f>
        <v>#REF!</v>
      </c>
      <c r="IB13" t="e">
        <f>AND(#REF!,"AAAAAHXsves=")</f>
        <v>#REF!</v>
      </c>
      <c r="IC13" t="e">
        <f>AND(#REF!,"AAAAAHXsvew=")</f>
        <v>#REF!</v>
      </c>
      <c r="ID13" t="e">
        <f>AND(#REF!,"AAAAAHXsve0=")</f>
        <v>#REF!</v>
      </c>
      <c r="IE13" t="e">
        <f>AND(#REF!,"AAAAAHXsve4=")</f>
        <v>#REF!</v>
      </c>
      <c r="IF13" t="e">
        <f>AND(#REF!,"AAAAAHXsve8=")</f>
        <v>#REF!</v>
      </c>
      <c r="IG13" t="e">
        <f>AND(#REF!,"AAAAAHXsvfA=")</f>
        <v>#REF!</v>
      </c>
      <c r="IH13" t="e">
        <f>AND(#REF!,"AAAAAHXsvfE=")</f>
        <v>#REF!</v>
      </c>
      <c r="II13" t="e">
        <f>AND(#REF!,"AAAAAHXsvfI=")</f>
        <v>#REF!</v>
      </c>
      <c r="IJ13" t="e">
        <f>AND(#REF!,"AAAAAHXsvfM=")</f>
        <v>#REF!</v>
      </c>
      <c r="IK13" t="e">
        <f>AND(#REF!,"AAAAAHXsvfQ=")</f>
        <v>#REF!</v>
      </c>
      <c r="IL13" t="e">
        <f>AND(#REF!,"AAAAAHXsvfU=")</f>
        <v>#REF!</v>
      </c>
      <c r="IM13" t="e">
        <f>AND(#REF!,"AAAAAHXsvfY=")</f>
        <v>#REF!</v>
      </c>
      <c r="IN13" t="e">
        <f>IF(#REF!,"AAAAAHXsvfc=",0)</f>
        <v>#REF!</v>
      </c>
      <c r="IO13" t="e">
        <f>AND(#REF!,"AAAAAHXsvfg=")</f>
        <v>#REF!</v>
      </c>
      <c r="IP13" t="e">
        <f>AND(#REF!,"AAAAAHXsvfk=")</f>
        <v>#REF!</v>
      </c>
      <c r="IQ13" t="e">
        <f>AND(#REF!,"AAAAAHXsvfo=")</f>
        <v>#REF!</v>
      </c>
      <c r="IR13" t="e">
        <f>AND(#REF!,"AAAAAHXsvfs=")</f>
        <v>#REF!</v>
      </c>
      <c r="IS13" t="e">
        <f>AND(#REF!,"AAAAAHXsvfw=")</f>
        <v>#REF!</v>
      </c>
      <c r="IT13" t="e">
        <f>AND(#REF!,"AAAAAHXsvf0=")</f>
        <v>#REF!</v>
      </c>
      <c r="IU13" t="e">
        <f>AND(#REF!,"AAAAAHXsvf4=")</f>
        <v>#REF!</v>
      </c>
      <c r="IV13" t="e">
        <f>AND(#REF!,"AAAAAHXsvf8=")</f>
        <v>#REF!</v>
      </c>
    </row>
    <row r="14" spans="1:256">
      <c r="A14" t="e">
        <f>AND(#REF!,"AAAAAH9+twA=")</f>
        <v>#REF!</v>
      </c>
      <c r="B14" t="e">
        <f>AND(#REF!,"AAAAAH9+twE=")</f>
        <v>#REF!</v>
      </c>
      <c r="C14" t="e">
        <f>AND(#REF!,"AAAAAH9+twI=")</f>
        <v>#REF!</v>
      </c>
      <c r="D14" t="e">
        <f>AND(#REF!,"AAAAAH9+twM=")</f>
        <v>#REF!</v>
      </c>
      <c r="E14" t="e">
        <f>IF(#REF!,"AAAAAH9+twQ=",0)</f>
        <v>#REF!</v>
      </c>
      <c r="F14" t="e">
        <f>AND(#REF!,"AAAAAH9+twU=")</f>
        <v>#REF!</v>
      </c>
      <c r="G14" t="e">
        <f>AND(#REF!,"AAAAAH9+twY=")</f>
        <v>#REF!</v>
      </c>
      <c r="H14" t="e">
        <f>AND(#REF!,"AAAAAH9+twc=")</f>
        <v>#REF!</v>
      </c>
      <c r="I14" t="e">
        <f>AND(#REF!,"AAAAAH9+twg=")</f>
        <v>#REF!</v>
      </c>
      <c r="J14" t="e">
        <f>AND(#REF!,"AAAAAH9+twk=")</f>
        <v>#REF!</v>
      </c>
      <c r="K14" t="e">
        <f>AND(#REF!,"AAAAAH9+two=")</f>
        <v>#REF!</v>
      </c>
      <c r="L14" t="e">
        <f>AND(#REF!,"AAAAAH9+tws=")</f>
        <v>#REF!</v>
      </c>
      <c r="M14" t="e">
        <f>AND(#REF!,"AAAAAH9+tww=")</f>
        <v>#REF!</v>
      </c>
      <c r="N14" t="e">
        <f>AND(#REF!,"AAAAAH9+tw0=")</f>
        <v>#REF!</v>
      </c>
      <c r="O14" t="e">
        <f>AND(#REF!,"AAAAAH9+tw4=")</f>
        <v>#REF!</v>
      </c>
      <c r="P14" t="e">
        <f>AND(#REF!,"AAAAAH9+tw8=")</f>
        <v>#REF!</v>
      </c>
      <c r="Q14" t="e">
        <f>AND(#REF!,"AAAAAH9+txA=")</f>
        <v>#REF!</v>
      </c>
      <c r="R14" t="e">
        <f>IF(#REF!,"AAAAAH9+txE=",0)</f>
        <v>#REF!</v>
      </c>
      <c r="S14" t="e">
        <f>AND(#REF!,"AAAAAH9+txI=")</f>
        <v>#REF!</v>
      </c>
      <c r="T14" t="e">
        <f>AND(#REF!,"AAAAAH9+txM=")</f>
        <v>#REF!</v>
      </c>
      <c r="U14" t="e">
        <f>AND(#REF!,"AAAAAH9+txQ=")</f>
        <v>#REF!</v>
      </c>
      <c r="V14" t="e">
        <f>AND(#REF!,"AAAAAH9+txU=")</f>
        <v>#REF!</v>
      </c>
      <c r="W14" t="e">
        <f>AND(#REF!,"AAAAAH9+txY=")</f>
        <v>#REF!</v>
      </c>
      <c r="X14" t="e">
        <f>AND(#REF!,"AAAAAH9+txc=")</f>
        <v>#REF!</v>
      </c>
      <c r="Y14" t="e">
        <f>AND(#REF!,"AAAAAH9+txg=")</f>
        <v>#REF!</v>
      </c>
      <c r="Z14" t="e">
        <f>AND(#REF!,"AAAAAH9+txk=")</f>
        <v>#REF!</v>
      </c>
      <c r="AA14" t="e">
        <f>AND(#REF!,"AAAAAH9+txo=")</f>
        <v>#REF!</v>
      </c>
      <c r="AB14" t="e">
        <f>AND(#REF!,"AAAAAH9+txs=")</f>
        <v>#REF!</v>
      </c>
      <c r="AC14" t="e">
        <f>AND(#REF!,"AAAAAH9+txw=")</f>
        <v>#REF!</v>
      </c>
      <c r="AD14" t="e">
        <f>AND(#REF!,"AAAAAH9+tx0=")</f>
        <v>#REF!</v>
      </c>
      <c r="AE14" t="e">
        <f>IF(#REF!,"AAAAAH9+tx4=",0)</f>
        <v>#REF!</v>
      </c>
      <c r="AF14" t="e">
        <f>AND(#REF!,"AAAAAH9+tx8=")</f>
        <v>#REF!</v>
      </c>
      <c r="AG14" t="e">
        <f>AND(#REF!,"AAAAAH9+tyA=")</f>
        <v>#REF!</v>
      </c>
      <c r="AH14" t="e">
        <f>AND(#REF!,"AAAAAH9+tyE=")</f>
        <v>#REF!</v>
      </c>
      <c r="AI14" t="e">
        <f>AND(#REF!,"AAAAAH9+tyI=")</f>
        <v>#REF!</v>
      </c>
      <c r="AJ14" t="e">
        <f>AND(#REF!,"AAAAAH9+tyM=")</f>
        <v>#REF!</v>
      </c>
      <c r="AK14" t="e">
        <f>AND(#REF!,"AAAAAH9+tyQ=")</f>
        <v>#REF!</v>
      </c>
      <c r="AL14" t="e">
        <f>AND(#REF!,"AAAAAH9+tyU=")</f>
        <v>#REF!</v>
      </c>
      <c r="AM14" t="e">
        <f>AND(#REF!,"AAAAAH9+tyY=")</f>
        <v>#REF!</v>
      </c>
      <c r="AN14" t="e">
        <f>AND(#REF!,"AAAAAH9+tyc=")</f>
        <v>#REF!</v>
      </c>
      <c r="AO14" t="e">
        <f>AND(#REF!,"AAAAAH9+tyg=")</f>
        <v>#REF!</v>
      </c>
      <c r="AP14" t="e">
        <f>AND(#REF!,"AAAAAH9+tyk=")</f>
        <v>#REF!</v>
      </c>
      <c r="AQ14" t="e">
        <f>AND(#REF!,"AAAAAH9+tyo=")</f>
        <v>#REF!</v>
      </c>
      <c r="AR14" t="e">
        <f>IF(#REF!,"AAAAAH9+tys=",0)</f>
        <v>#REF!</v>
      </c>
      <c r="AS14" t="e">
        <f>AND(#REF!,"AAAAAH9+tyw=")</f>
        <v>#REF!</v>
      </c>
      <c r="AT14" t="e">
        <f>AND(#REF!,"AAAAAH9+ty0=")</f>
        <v>#REF!</v>
      </c>
      <c r="AU14" t="e">
        <f>AND(#REF!,"AAAAAH9+ty4=")</f>
        <v>#REF!</v>
      </c>
      <c r="AV14" t="e">
        <f>AND(#REF!,"AAAAAH9+ty8=")</f>
        <v>#REF!</v>
      </c>
      <c r="AW14" t="e">
        <f>AND(#REF!,"AAAAAH9+tzA=")</f>
        <v>#REF!</v>
      </c>
      <c r="AX14" t="e">
        <f>AND(#REF!,"AAAAAH9+tzE=")</f>
        <v>#REF!</v>
      </c>
      <c r="AY14" t="e">
        <f>AND(#REF!,"AAAAAH9+tzI=")</f>
        <v>#REF!</v>
      </c>
      <c r="AZ14" t="e">
        <f>AND(#REF!,"AAAAAH9+tzM=")</f>
        <v>#REF!</v>
      </c>
      <c r="BA14" t="e">
        <f>AND(#REF!,"AAAAAH9+tzQ=")</f>
        <v>#REF!</v>
      </c>
      <c r="BB14" t="e">
        <f>AND(#REF!,"AAAAAH9+tzU=")</f>
        <v>#REF!</v>
      </c>
      <c r="BC14" t="e">
        <f>AND(#REF!,"AAAAAH9+tzY=")</f>
        <v>#REF!</v>
      </c>
      <c r="BD14" t="e">
        <f>AND(#REF!,"AAAAAH9+tzc=")</f>
        <v>#REF!</v>
      </c>
      <c r="BE14" t="e">
        <f>IF(#REF!,"AAAAAH9+tzg=",0)</f>
        <v>#REF!</v>
      </c>
      <c r="BF14" t="e">
        <f>AND(#REF!,"AAAAAH9+tzk=")</f>
        <v>#REF!</v>
      </c>
      <c r="BG14" t="e">
        <f>AND(#REF!,"AAAAAH9+tzo=")</f>
        <v>#REF!</v>
      </c>
      <c r="BH14" t="e">
        <f>AND(#REF!,"AAAAAH9+tzs=")</f>
        <v>#REF!</v>
      </c>
      <c r="BI14" t="e">
        <f>AND(#REF!,"AAAAAH9+tzw=")</f>
        <v>#REF!</v>
      </c>
      <c r="BJ14" t="e">
        <f>AND(#REF!,"AAAAAH9+tz0=")</f>
        <v>#REF!</v>
      </c>
      <c r="BK14" t="e">
        <f>AND(#REF!,"AAAAAH9+tz4=")</f>
        <v>#REF!</v>
      </c>
      <c r="BL14" t="e">
        <f>AND(#REF!,"AAAAAH9+tz8=")</f>
        <v>#REF!</v>
      </c>
      <c r="BM14" t="e">
        <f>AND(#REF!,"AAAAAH9+t0A=")</f>
        <v>#REF!</v>
      </c>
      <c r="BN14" t="e">
        <f>AND(#REF!,"AAAAAH9+t0E=")</f>
        <v>#REF!</v>
      </c>
      <c r="BO14" t="e">
        <f>AND(#REF!,"AAAAAH9+t0I=")</f>
        <v>#REF!</v>
      </c>
      <c r="BP14" t="e">
        <f>AND(#REF!,"AAAAAH9+t0M=")</f>
        <v>#REF!</v>
      </c>
      <c r="BQ14" t="e">
        <f>AND(#REF!,"AAAAAH9+t0Q=")</f>
        <v>#REF!</v>
      </c>
      <c r="BR14" t="e">
        <f>IF(#REF!,"AAAAAH9+t0U=",0)</f>
        <v>#REF!</v>
      </c>
      <c r="BS14" t="e">
        <f>AND(#REF!,"AAAAAH9+t0Y=")</f>
        <v>#REF!</v>
      </c>
      <c r="BT14" t="e">
        <f>AND(#REF!,"AAAAAH9+t0c=")</f>
        <v>#REF!</v>
      </c>
      <c r="BU14" t="e">
        <f>AND(#REF!,"AAAAAH9+t0g=")</f>
        <v>#REF!</v>
      </c>
      <c r="BV14" t="e">
        <f>AND(#REF!,"AAAAAH9+t0k=")</f>
        <v>#REF!</v>
      </c>
      <c r="BW14" t="e">
        <f>AND(#REF!,"AAAAAH9+t0o=")</f>
        <v>#REF!</v>
      </c>
      <c r="BX14" t="e">
        <f>AND(#REF!,"AAAAAH9+t0s=")</f>
        <v>#REF!</v>
      </c>
      <c r="BY14" t="e">
        <f>AND(#REF!,"AAAAAH9+t0w=")</f>
        <v>#REF!</v>
      </c>
      <c r="BZ14" t="e">
        <f>AND(#REF!,"AAAAAH9+t00=")</f>
        <v>#REF!</v>
      </c>
      <c r="CA14" t="e">
        <f>AND(#REF!,"AAAAAH9+t04=")</f>
        <v>#REF!</v>
      </c>
      <c r="CB14" t="e">
        <f>AND(#REF!,"AAAAAH9+t08=")</f>
        <v>#REF!</v>
      </c>
      <c r="CC14" t="e">
        <f>AND(#REF!,"AAAAAH9+t1A=")</f>
        <v>#REF!</v>
      </c>
      <c r="CD14" t="e">
        <f>AND(#REF!,"AAAAAH9+t1E=")</f>
        <v>#REF!</v>
      </c>
      <c r="CE14" t="e">
        <f>IF(#REF!,"AAAAAH9+t1I=",0)</f>
        <v>#REF!</v>
      </c>
      <c r="CF14" t="e">
        <f>AND(#REF!,"AAAAAH9+t1M=")</f>
        <v>#REF!</v>
      </c>
      <c r="CG14" t="e">
        <f>AND(#REF!,"AAAAAH9+t1Q=")</f>
        <v>#REF!</v>
      </c>
      <c r="CH14" t="e">
        <f>AND(#REF!,"AAAAAH9+t1U=")</f>
        <v>#REF!</v>
      </c>
      <c r="CI14" t="e">
        <f>AND(#REF!,"AAAAAH9+t1Y=")</f>
        <v>#REF!</v>
      </c>
      <c r="CJ14" t="e">
        <f>AND(#REF!,"AAAAAH9+t1c=")</f>
        <v>#REF!</v>
      </c>
      <c r="CK14" t="e">
        <f>AND(#REF!,"AAAAAH9+t1g=")</f>
        <v>#REF!</v>
      </c>
      <c r="CL14" t="e">
        <f>AND(#REF!,"AAAAAH9+t1k=")</f>
        <v>#REF!</v>
      </c>
      <c r="CM14" t="e">
        <f>AND(#REF!,"AAAAAH9+t1o=")</f>
        <v>#REF!</v>
      </c>
      <c r="CN14" t="e">
        <f>AND(#REF!,"AAAAAH9+t1s=")</f>
        <v>#REF!</v>
      </c>
      <c r="CO14" t="e">
        <f>AND(#REF!,"AAAAAH9+t1w=")</f>
        <v>#REF!</v>
      </c>
      <c r="CP14" t="e">
        <f>AND(#REF!,"AAAAAH9+t10=")</f>
        <v>#REF!</v>
      </c>
      <c r="CQ14" t="e">
        <f>AND(#REF!,"AAAAAH9+t14=")</f>
        <v>#REF!</v>
      </c>
      <c r="CR14" t="e">
        <f>IF(#REF!,"AAAAAH9+t18=",0)</f>
        <v>#REF!</v>
      </c>
      <c r="CS14" t="e">
        <f>AND(#REF!,"AAAAAH9+t2A=")</f>
        <v>#REF!</v>
      </c>
      <c r="CT14" t="e">
        <f>AND(#REF!,"AAAAAH9+t2E=")</f>
        <v>#REF!</v>
      </c>
      <c r="CU14" t="e">
        <f>AND(#REF!,"AAAAAH9+t2I=")</f>
        <v>#REF!</v>
      </c>
      <c r="CV14" t="e">
        <f>AND(#REF!,"AAAAAH9+t2M=")</f>
        <v>#REF!</v>
      </c>
      <c r="CW14" t="e">
        <f>AND(#REF!,"AAAAAH9+t2Q=")</f>
        <v>#REF!</v>
      </c>
      <c r="CX14" t="e">
        <f>AND(#REF!,"AAAAAH9+t2U=")</f>
        <v>#REF!</v>
      </c>
      <c r="CY14" t="e">
        <f>AND(#REF!,"AAAAAH9+t2Y=")</f>
        <v>#REF!</v>
      </c>
      <c r="CZ14" t="e">
        <f>AND(#REF!,"AAAAAH9+t2c=")</f>
        <v>#REF!</v>
      </c>
      <c r="DA14" t="e">
        <f>AND(#REF!,"AAAAAH9+t2g=")</f>
        <v>#REF!</v>
      </c>
      <c r="DB14" t="e">
        <f>AND(#REF!,"AAAAAH9+t2k=")</f>
        <v>#REF!</v>
      </c>
      <c r="DC14" t="e">
        <f>AND(#REF!,"AAAAAH9+t2o=")</f>
        <v>#REF!</v>
      </c>
      <c r="DD14" t="e">
        <f>AND(#REF!,"AAAAAH9+t2s=")</f>
        <v>#REF!</v>
      </c>
      <c r="DE14" t="e">
        <f>IF(#REF!,"AAAAAH9+t2w=",0)</f>
        <v>#REF!</v>
      </c>
      <c r="DF14" t="e">
        <f>AND(#REF!,"AAAAAH9+t20=")</f>
        <v>#REF!</v>
      </c>
      <c r="DG14" t="e">
        <f>AND(#REF!,"AAAAAH9+t24=")</f>
        <v>#REF!</v>
      </c>
      <c r="DH14" t="e">
        <f>AND(#REF!,"AAAAAH9+t28=")</f>
        <v>#REF!</v>
      </c>
      <c r="DI14" t="e">
        <f>AND(#REF!,"AAAAAH9+t3A=")</f>
        <v>#REF!</v>
      </c>
      <c r="DJ14" t="e">
        <f>AND(#REF!,"AAAAAH9+t3E=")</f>
        <v>#REF!</v>
      </c>
      <c r="DK14" t="e">
        <f>AND(#REF!,"AAAAAH9+t3I=")</f>
        <v>#REF!</v>
      </c>
      <c r="DL14" t="e">
        <f>AND(#REF!,"AAAAAH9+t3M=")</f>
        <v>#REF!</v>
      </c>
      <c r="DM14" t="e">
        <f>AND(#REF!,"AAAAAH9+t3Q=")</f>
        <v>#REF!</v>
      </c>
      <c r="DN14" t="e">
        <f>AND(#REF!,"AAAAAH9+t3U=")</f>
        <v>#REF!</v>
      </c>
      <c r="DO14" t="e">
        <f>AND(#REF!,"AAAAAH9+t3Y=")</f>
        <v>#REF!</v>
      </c>
      <c r="DP14" t="e">
        <f>AND(#REF!,"AAAAAH9+t3c=")</f>
        <v>#REF!</v>
      </c>
      <c r="DQ14" t="e">
        <f>AND(#REF!,"AAAAAH9+t3g=")</f>
        <v>#REF!</v>
      </c>
      <c r="DR14" t="e">
        <f>IF(#REF!,"AAAAAH9+t3k=",0)</f>
        <v>#REF!</v>
      </c>
      <c r="DS14" t="e">
        <f>AND(#REF!,"AAAAAH9+t3o=")</f>
        <v>#REF!</v>
      </c>
      <c r="DT14" t="e">
        <f>AND(#REF!,"AAAAAH9+t3s=")</f>
        <v>#REF!</v>
      </c>
      <c r="DU14" t="e">
        <f>AND(#REF!,"AAAAAH9+t3w=")</f>
        <v>#REF!</v>
      </c>
      <c r="DV14" t="e">
        <f>AND(#REF!,"AAAAAH9+t30=")</f>
        <v>#REF!</v>
      </c>
      <c r="DW14" t="e">
        <f>AND(#REF!,"AAAAAH9+t34=")</f>
        <v>#REF!</v>
      </c>
      <c r="DX14" t="e">
        <f>AND(#REF!,"AAAAAH9+t38=")</f>
        <v>#REF!</v>
      </c>
      <c r="DY14" t="e">
        <f>AND(#REF!,"AAAAAH9+t4A=")</f>
        <v>#REF!</v>
      </c>
      <c r="DZ14" t="e">
        <f>AND(#REF!,"AAAAAH9+t4E=")</f>
        <v>#REF!</v>
      </c>
      <c r="EA14" t="e">
        <f>AND(#REF!,"AAAAAH9+t4I=")</f>
        <v>#REF!</v>
      </c>
      <c r="EB14" t="e">
        <f>AND(#REF!,"AAAAAH9+t4M=")</f>
        <v>#REF!</v>
      </c>
      <c r="EC14" t="e">
        <f>AND(#REF!,"AAAAAH9+t4Q=")</f>
        <v>#REF!</v>
      </c>
      <c r="ED14" t="e">
        <f>AND(#REF!,"AAAAAH9+t4U=")</f>
        <v>#REF!</v>
      </c>
      <c r="EE14" t="e">
        <f>IF(#REF!,"AAAAAH9+t4Y=",0)</f>
        <v>#REF!</v>
      </c>
      <c r="EF14" t="e">
        <f>AND(#REF!,"AAAAAH9+t4c=")</f>
        <v>#REF!</v>
      </c>
      <c r="EG14" t="e">
        <f>AND(#REF!,"AAAAAH9+t4g=")</f>
        <v>#REF!</v>
      </c>
      <c r="EH14" t="e">
        <f>AND(#REF!,"AAAAAH9+t4k=")</f>
        <v>#REF!</v>
      </c>
      <c r="EI14" t="e">
        <f>AND(#REF!,"AAAAAH9+t4o=")</f>
        <v>#REF!</v>
      </c>
      <c r="EJ14" t="e">
        <f>AND(#REF!,"AAAAAH9+t4s=")</f>
        <v>#REF!</v>
      </c>
      <c r="EK14" t="e">
        <f>AND(#REF!,"AAAAAH9+t4w=")</f>
        <v>#REF!</v>
      </c>
      <c r="EL14" t="e">
        <f>AND(#REF!,"AAAAAH9+t40=")</f>
        <v>#REF!</v>
      </c>
      <c r="EM14" t="e">
        <f>AND(#REF!,"AAAAAH9+t44=")</f>
        <v>#REF!</v>
      </c>
      <c r="EN14" t="e">
        <f>AND(#REF!,"AAAAAH9+t48=")</f>
        <v>#REF!</v>
      </c>
      <c r="EO14" t="e">
        <f>AND(#REF!,"AAAAAH9+t5A=")</f>
        <v>#REF!</v>
      </c>
      <c r="EP14" t="e">
        <f>AND(#REF!,"AAAAAH9+t5E=")</f>
        <v>#REF!</v>
      </c>
      <c r="EQ14" t="e">
        <f>AND(#REF!,"AAAAAH9+t5I=")</f>
        <v>#REF!</v>
      </c>
      <c r="ER14" t="e">
        <f>IF(#REF!,"AAAAAH9+t5M=",0)</f>
        <v>#REF!</v>
      </c>
      <c r="ES14" t="e">
        <f>AND(#REF!,"AAAAAH9+t5Q=")</f>
        <v>#REF!</v>
      </c>
      <c r="ET14" t="e">
        <f>AND(#REF!,"AAAAAH9+t5U=")</f>
        <v>#REF!</v>
      </c>
      <c r="EU14" t="e">
        <f>AND(#REF!,"AAAAAH9+t5Y=")</f>
        <v>#REF!</v>
      </c>
      <c r="EV14" t="e">
        <f>AND(#REF!,"AAAAAH9+t5c=")</f>
        <v>#REF!</v>
      </c>
      <c r="EW14" t="e">
        <f>AND(#REF!,"AAAAAH9+t5g=")</f>
        <v>#REF!</v>
      </c>
      <c r="EX14" t="e">
        <f>AND(#REF!,"AAAAAH9+t5k=")</f>
        <v>#REF!</v>
      </c>
      <c r="EY14" t="e">
        <f>AND(#REF!,"AAAAAH9+t5o=")</f>
        <v>#REF!</v>
      </c>
      <c r="EZ14" t="e">
        <f>AND(#REF!,"AAAAAH9+t5s=")</f>
        <v>#REF!</v>
      </c>
      <c r="FA14" t="e">
        <f>AND(#REF!,"AAAAAH9+t5w=")</f>
        <v>#REF!</v>
      </c>
      <c r="FB14" t="e">
        <f>AND(#REF!,"AAAAAH9+t50=")</f>
        <v>#REF!</v>
      </c>
      <c r="FC14" t="e">
        <f>AND(#REF!,"AAAAAH9+t54=")</f>
        <v>#REF!</v>
      </c>
      <c r="FD14" t="e">
        <f>AND(#REF!,"AAAAAH9+t58=")</f>
        <v>#REF!</v>
      </c>
      <c r="FE14" t="e">
        <f>IF(#REF!,"AAAAAH9+t6A=",0)</f>
        <v>#REF!</v>
      </c>
      <c r="FF14" t="e">
        <f>AND(#REF!,"AAAAAH9+t6E=")</f>
        <v>#REF!</v>
      </c>
      <c r="FG14" t="e">
        <f>AND(#REF!,"AAAAAH9+t6I=")</f>
        <v>#REF!</v>
      </c>
      <c r="FH14" t="e">
        <f>AND(#REF!,"AAAAAH9+t6M=")</f>
        <v>#REF!</v>
      </c>
      <c r="FI14" t="e">
        <f>AND(#REF!,"AAAAAH9+t6Q=")</f>
        <v>#REF!</v>
      </c>
      <c r="FJ14" t="e">
        <f>AND(#REF!,"AAAAAH9+t6U=")</f>
        <v>#REF!</v>
      </c>
      <c r="FK14" t="e">
        <f>AND(#REF!,"AAAAAH9+t6Y=")</f>
        <v>#REF!</v>
      </c>
      <c r="FL14" t="e">
        <f>AND(#REF!,"AAAAAH9+t6c=")</f>
        <v>#REF!</v>
      </c>
      <c r="FM14" t="e">
        <f>AND(#REF!,"AAAAAH9+t6g=")</f>
        <v>#REF!</v>
      </c>
      <c r="FN14" t="e">
        <f>AND(#REF!,"AAAAAH9+t6k=")</f>
        <v>#REF!</v>
      </c>
      <c r="FO14" t="e">
        <f>AND(#REF!,"AAAAAH9+t6o=")</f>
        <v>#REF!</v>
      </c>
      <c r="FP14" t="e">
        <f>AND(#REF!,"AAAAAH9+t6s=")</f>
        <v>#REF!</v>
      </c>
      <c r="FQ14" t="e">
        <f>AND(#REF!,"AAAAAH9+t6w=")</f>
        <v>#REF!</v>
      </c>
      <c r="FR14" t="e">
        <f>IF(#REF!,"AAAAAH9+t60=",0)</f>
        <v>#REF!</v>
      </c>
      <c r="FS14" t="e">
        <f>AND(#REF!,"AAAAAH9+t64=")</f>
        <v>#REF!</v>
      </c>
      <c r="FT14" t="e">
        <f>AND(#REF!,"AAAAAH9+t68=")</f>
        <v>#REF!</v>
      </c>
      <c r="FU14" t="e">
        <f>AND(#REF!,"AAAAAH9+t7A=")</f>
        <v>#REF!</v>
      </c>
      <c r="FV14" t="e">
        <f>AND(#REF!,"AAAAAH9+t7E=")</f>
        <v>#REF!</v>
      </c>
      <c r="FW14" t="e">
        <f>AND(#REF!,"AAAAAH9+t7I=")</f>
        <v>#REF!</v>
      </c>
      <c r="FX14" t="e">
        <f>AND(#REF!,"AAAAAH9+t7M=")</f>
        <v>#REF!</v>
      </c>
      <c r="FY14" t="e">
        <f>AND(#REF!,"AAAAAH9+t7Q=")</f>
        <v>#REF!</v>
      </c>
      <c r="FZ14" t="e">
        <f>AND(#REF!,"AAAAAH9+t7U=")</f>
        <v>#REF!</v>
      </c>
      <c r="GA14" t="e">
        <f>AND(#REF!,"AAAAAH9+t7Y=")</f>
        <v>#REF!</v>
      </c>
      <c r="GB14" t="e">
        <f>AND(#REF!,"AAAAAH9+t7c=")</f>
        <v>#REF!</v>
      </c>
      <c r="GC14" t="e">
        <f>AND(#REF!,"AAAAAH9+t7g=")</f>
        <v>#REF!</v>
      </c>
      <c r="GD14" t="e">
        <f>AND(#REF!,"AAAAAH9+t7k=")</f>
        <v>#REF!</v>
      </c>
      <c r="GE14" t="e">
        <f>IF(#REF!,"AAAAAH9+t7o=",0)</f>
        <v>#REF!</v>
      </c>
      <c r="GF14" t="e">
        <f>AND(#REF!,"AAAAAH9+t7s=")</f>
        <v>#REF!</v>
      </c>
      <c r="GG14" t="e">
        <f>AND(#REF!,"AAAAAH9+t7w=")</f>
        <v>#REF!</v>
      </c>
      <c r="GH14" t="e">
        <f>AND(#REF!,"AAAAAH9+t70=")</f>
        <v>#REF!</v>
      </c>
      <c r="GI14" t="e">
        <f>AND(#REF!,"AAAAAH9+t74=")</f>
        <v>#REF!</v>
      </c>
      <c r="GJ14" t="e">
        <f>AND(#REF!,"AAAAAH9+t78=")</f>
        <v>#REF!</v>
      </c>
      <c r="GK14" t="e">
        <f>AND(#REF!,"AAAAAH9+t8A=")</f>
        <v>#REF!</v>
      </c>
      <c r="GL14" t="e">
        <f>AND(#REF!,"AAAAAH9+t8E=")</f>
        <v>#REF!</v>
      </c>
      <c r="GM14" t="e">
        <f>AND(#REF!,"AAAAAH9+t8I=")</f>
        <v>#REF!</v>
      </c>
      <c r="GN14" t="e">
        <f>AND(#REF!,"AAAAAH9+t8M=")</f>
        <v>#REF!</v>
      </c>
      <c r="GO14" t="e">
        <f>AND(#REF!,"AAAAAH9+t8Q=")</f>
        <v>#REF!</v>
      </c>
      <c r="GP14" t="e">
        <f>AND(#REF!,"AAAAAH9+t8U=")</f>
        <v>#REF!</v>
      </c>
      <c r="GQ14" t="e">
        <f>AND(#REF!,"AAAAAH9+t8Y=")</f>
        <v>#REF!</v>
      </c>
      <c r="GR14" t="e">
        <f>IF(#REF!,"AAAAAH9+t8c=",0)</f>
        <v>#REF!</v>
      </c>
      <c r="GS14" t="e">
        <f>AND(#REF!,"AAAAAH9+t8g=")</f>
        <v>#REF!</v>
      </c>
      <c r="GT14" t="e">
        <f>AND(#REF!,"AAAAAH9+t8k=")</f>
        <v>#REF!</v>
      </c>
      <c r="GU14" t="e">
        <f>AND(#REF!,"AAAAAH9+t8o=")</f>
        <v>#REF!</v>
      </c>
      <c r="GV14" t="e">
        <f>AND(#REF!,"AAAAAH9+t8s=")</f>
        <v>#REF!</v>
      </c>
      <c r="GW14" t="e">
        <f>AND(#REF!,"AAAAAH9+t8w=")</f>
        <v>#REF!</v>
      </c>
      <c r="GX14" t="e">
        <f>AND(#REF!,"AAAAAH9+t80=")</f>
        <v>#REF!</v>
      </c>
      <c r="GY14" t="e">
        <f>AND(#REF!,"AAAAAH9+t84=")</f>
        <v>#REF!</v>
      </c>
      <c r="GZ14" t="e">
        <f>AND(#REF!,"AAAAAH9+t88=")</f>
        <v>#REF!</v>
      </c>
      <c r="HA14" t="e">
        <f>AND(#REF!,"AAAAAH9+t9A=")</f>
        <v>#REF!</v>
      </c>
      <c r="HB14" t="e">
        <f>AND(#REF!,"AAAAAH9+t9E=")</f>
        <v>#REF!</v>
      </c>
      <c r="HC14" t="e">
        <f>AND(#REF!,"AAAAAH9+t9I=")</f>
        <v>#REF!</v>
      </c>
      <c r="HD14" t="e">
        <f>AND(#REF!,"AAAAAH9+t9M=")</f>
        <v>#REF!</v>
      </c>
      <c r="HE14" t="e">
        <f>IF(#REF!,"AAAAAH9+t9Q=",0)</f>
        <v>#REF!</v>
      </c>
      <c r="HF14" t="e">
        <f>AND(#REF!,"AAAAAH9+t9U=")</f>
        <v>#REF!</v>
      </c>
      <c r="HG14" t="e">
        <f>AND(#REF!,"AAAAAH9+t9Y=")</f>
        <v>#REF!</v>
      </c>
      <c r="HH14" t="e">
        <f>AND(#REF!,"AAAAAH9+t9c=")</f>
        <v>#REF!</v>
      </c>
      <c r="HI14" t="e">
        <f>AND(#REF!,"AAAAAH9+t9g=")</f>
        <v>#REF!</v>
      </c>
      <c r="HJ14" t="e">
        <f>AND(#REF!,"AAAAAH9+t9k=")</f>
        <v>#REF!</v>
      </c>
      <c r="HK14" t="e">
        <f>AND(#REF!,"AAAAAH9+t9o=")</f>
        <v>#REF!</v>
      </c>
      <c r="HL14" t="e">
        <f>AND(#REF!,"AAAAAH9+t9s=")</f>
        <v>#REF!</v>
      </c>
      <c r="HM14" t="e">
        <f>AND(#REF!,"AAAAAH9+t9w=")</f>
        <v>#REF!</v>
      </c>
      <c r="HN14" t="e">
        <f>AND(#REF!,"AAAAAH9+t90=")</f>
        <v>#REF!</v>
      </c>
      <c r="HO14" t="e">
        <f>AND(#REF!,"AAAAAH9+t94=")</f>
        <v>#REF!</v>
      </c>
      <c r="HP14" t="e">
        <f>AND(#REF!,"AAAAAH9+t98=")</f>
        <v>#REF!</v>
      </c>
      <c r="HQ14" t="e">
        <f>AND(#REF!,"AAAAAH9+t+A=")</f>
        <v>#REF!</v>
      </c>
      <c r="HR14" t="e">
        <f>IF(#REF!,"AAAAAH9+t+E=",0)</f>
        <v>#REF!</v>
      </c>
      <c r="HS14" t="e">
        <f>AND(#REF!,"AAAAAH9+t+I=")</f>
        <v>#REF!</v>
      </c>
      <c r="HT14" t="e">
        <f>AND(#REF!,"AAAAAH9+t+M=")</f>
        <v>#REF!</v>
      </c>
      <c r="HU14" t="e">
        <f>AND(#REF!,"AAAAAH9+t+Q=")</f>
        <v>#REF!</v>
      </c>
      <c r="HV14" t="e">
        <f>AND(#REF!,"AAAAAH9+t+U=")</f>
        <v>#REF!</v>
      </c>
      <c r="HW14" t="e">
        <f>AND(#REF!,"AAAAAH9+t+Y=")</f>
        <v>#REF!</v>
      </c>
      <c r="HX14" t="e">
        <f>AND(#REF!,"AAAAAH9+t+c=")</f>
        <v>#REF!</v>
      </c>
      <c r="HY14" t="e">
        <f>AND(#REF!,"AAAAAH9+t+g=")</f>
        <v>#REF!</v>
      </c>
      <c r="HZ14" t="e">
        <f>AND(#REF!,"AAAAAH9+t+k=")</f>
        <v>#REF!</v>
      </c>
      <c r="IA14" t="e">
        <f>AND(#REF!,"AAAAAH9+t+o=")</f>
        <v>#REF!</v>
      </c>
      <c r="IB14" t="e">
        <f>AND(#REF!,"AAAAAH9+t+s=")</f>
        <v>#REF!</v>
      </c>
      <c r="IC14" t="e">
        <f>AND(#REF!,"AAAAAH9+t+w=")</f>
        <v>#REF!</v>
      </c>
      <c r="ID14" t="e">
        <f>AND(#REF!,"AAAAAH9+t+0=")</f>
        <v>#REF!</v>
      </c>
      <c r="IE14" t="e">
        <f>IF(#REF!,"AAAAAH9+t+4=",0)</f>
        <v>#REF!</v>
      </c>
      <c r="IF14" t="e">
        <f>AND(#REF!,"AAAAAH9+t+8=")</f>
        <v>#REF!</v>
      </c>
      <c r="IG14" t="e">
        <f>AND(#REF!,"AAAAAH9+t/A=")</f>
        <v>#REF!</v>
      </c>
      <c r="IH14" t="e">
        <f>AND(#REF!,"AAAAAH9+t/E=")</f>
        <v>#REF!</v>
      </c>
      <c r="II14" t="e">
        <f>AND(#REF!,"AAAAAH9+t/I=")</f>
        <v>#REF!</v>
      </c>
      <c r="IJ14" t="e">
        <f>AND(#REF!,"AAAAAH9+t/M=")</f>
        <v>#REF!</v>
      </c>
      <c r="IK14" t="e">
        <f>AND(#REF!,"AAAAAH9+t/Q=")</f>
        <v>#REF!</v>
      </c>
      <c r="IL14" t="e">
        <f>AND(#REF!,"AAAAAH9+t/U=")</f>
        <v>#REF!</v>
      </c>
      <c r="IM14" t="e">
        <f>AND(#REF!,"AAAAAH9+t/Y=")</f>
        <v>#REF!</v>
      </c>
      <c r="IN14" t="e">
        <f>AND(#REF!,"AAAAAH9+t/c=")</f>
        <v>#REF!</v>
      </c>
      <c r="IO14" t="e">
        <f>AND(#REF!,"AAAAAH9+t/g=")</f>
        <v>#REF!</v>
      </c>
      <c r="IP14" t="e">
        <f>AND(#REF!,"AAAAAH9+t/k=")</f>
        <v>#REF!</v>
      </c>
      <c r="IQ14" t="e">
        <f>AND(#REF!,"AAAAAH9+t/o=")</f>
        <v>#REF!</v>
      </c>
      <c r="IR14" t="e">
        <f>IF(#REF!,"AAAAAH9+t/s=",0)</f>
        <v>#REF!</v>
      </c>
      <c r="IS14" t="e">
        <f>AND(#REF!,"AAAAAH9+t/w=")</f>
        <v>#REF!</v>
      </c>
      <c r="IT14" t="e">
        <f>AND(#REF!,"AAAAAH9+t/0=")</f>
        <v>#REF!</v>
      </c>
      <c r="IU14" t="e">
        <f>AND(#REF!,"AAAAAH9+t/4=")</f>
        <v>#REF!</v>
      </c>
      <c r="IV14" t="e">
        <f>AND(#REF!,"AAAAAH9+t/8=")</f>
        <v>#REF!</v>
      </c>
    </row>
    <row r="15" spans="1:256">
      <c r="A15" t="e">
        <f>AND(#REF!,"AAAAAD+X+gA=")</f>
        <v>#REF!</v>
      </c>
      <c r="B15" t="e">
        <f>AND(#REF!,"AAAAAD+X+gE=")</f>
        <v>#REF!</v>
      </c>
      <c r="C15" t="e">
        <f>AND(#REF!,"AAAAAD+X+gI=")</f>
        <v>#REF!</v>
      </c>
      <c r="D15" t="e">
        <f>AND(#REF!,"AAAAAD+X+gM=")</f>
        <v>#REF!</v>
      </c>
      <c r="E15" t="e">
        <f>AND(#REF!,"AAAAAD+X+gQ=")</f>
        <v>#REF!</v>
      </c>
      <c r="F15" t="e">
        <f>AND(#REF!,"AAAAAD+X+gU=")</f>
        <v>#REF!</v>
      </c>
      <c r="G15" t="e">
        <f>AND(#REF!,"AAAAAD+X+gY=")</f>
        <v>#REF!</v>
      </c>
      <c r="H15" t="e">
        <f>AND(#REF!,"AAAAAD+X+gc=")</f>
        <v>#REF!</v>
      </c>
      <c r="I15" t="e">
        <f>IF(#REF!,"AAAAAD+X+gg=",0)</f>
        <v>#REF!</v>
      </c>
      <c r="J15" t="e">
        <f>AND(#REF!,"AAAAAD+X+gk=")</f>
        <v>#REF!</v>
      </c>
      <c r="K15" t="e">
        <f>AND(#REF!,"AAAAAD+X+go=")</f>
        <v>#REF!</v>
      </c>
      <c r="L15" t="e">
        <f>AND(#REF!,"AAAAAD+X+gs=")</f>
        <v>#REF!</v>
      </c>
      <c r="M15" t="e">
        <f>AND(#REF!,"AAAAAD+X+gw=")</f>
        <v>#REF!</v>
      </c>
      <c r="N15" t="e">
        <f>AND(#REF!,"AAAAAD+X+g0=")</f>
        <v>#REF!</v>
      </c>
      <c r="O15" t="e">
        <f>AND(#REF!,"AAAAAD+X+g4=")</f>
        <v>#REF!</v>
      </c>
      <c r="P15" t="e">
        <f>AND(#REF!,"AAAAAD+X+g8=")</f>
        <v>#REF!</v>
      </c>
      <c r="Q15" t="e">
        <f>AND(#REF!,"AAAAAD+X+hA=")</f>
        <v>#REF!</v>
      </c>
      <c r="R15" t="e">
        <f>AND(#REF!,"AAAAAD+X+hE=")</f>
        <v>#REF!</v>
      </c>
      <c r="S15" t="e">
        <f>AND(#REF!,"AAAAAD+X+hI=")</f>
        <v>#REF!</v>
      </c>
      <c r="T15" t="e">
        <f>AND(#REF!,"AAAAAD+X+hM=")</f>
        <v>#REF!</v>
      </c>
      <c r="U15" t="e">
        <f>AND(#REF!,"AAAAAD+X+hQ=")</f>
        <v>#REF!</v>
      </c>
      <c r="V15" t="e">
        <f>IF(#REF!,"AAAAAD+X+hU=",0)</f>
        <v>#REF!</v>
      </c>
      <c r="W15" t="e">
        <f>AND(#REF!,"AAAAAD+X+hY=")</f>
        <v>#REF!</v>
      </c>
      <c r="X15" t="e">
        <f>AND(#REF!,"AAAAAD+X+hc=")</f>
        <v>#REF!</v>
      </c>
      <c r="Y15" t="e">
        <f>AND(#REF!,"AAAAAD+X+hg=")</f>
        <v>#REF!</v>
      </c>
      <c r="Z15" t="e">
        <f>AND(#REF!,"AAAAAD+X+hk=")</f>
        <v>#REF!</v>
      </c>
      <c r="AA15" t="e">
        <f>AND(#REF!,"AAAAAD+X+ho=")</f>
        <v>#REF!</v>
      </c>
      <c r="AB15" t="e">
        <f>AND(#REF!,"AAAAAD+X+hs=")</f>
        <v>#REF!</v>
      </c>
      <c r="AC15" t="e">
        <f>AND(#REF!,"AAAAAD+X+hw=")</f>
        <v>#REF!</v>
      </c>
      <c r="AD15" t="e">
        <f>AND(#REF!,"AAAAAD+X+h0=")</f>
        <v>#REF!</v>
      </c>
      <c r="AE15" t="e">
        <f>AND(#REF!,"AAAAAD+X+h4=")</f>
        <v>#REF!</v>
      </c>
      <c r="AF15" t="e">
        <f>AND(#REF!,"AAAAAD+X+h8=")</f>
        <v>#REF!</v>
      </c>
      <c r="AG15" t="e">
        <f>AND(#REF!,"AAAAAD+X+iA=")</f>
        <v>#REF!</v>
      </c>
      <c r="AH15" t="e">
        <f>AND(#REF!,"AAAAAD+X+iE=")</f>
        <v>#REF!</v>
      </c>
      <c r="AI15" t="e">
        <f>IF(#REF!,"AAAAAD+X+iI=",0)</f>
        <v>#REF!</v>
      </c>
      <c r="AJ15" t="e">
        <f>AND(#REF!,"AAAAAD+X+iM=")</f>
        <v>#REF!</v>
      </c>
      <c r="AK15" t="e">
        <f>AND(#REF!,"AAAAAD+X+iQ=")</f>
        <v>#REF!</v>
      </c>
      <c r="AL15" t="e">
        <f>AND(#REF!,"AAAAAD+X+iU=")</f>
        <v>#REF!</v>
      </c>
      <c r="AM15" t="e">
        <f>AND(#REF!,"AAAAAD+X+iY=")</f>
        <v>#REF!</v>
      </c>
      <c r="AN15" t="e">
        <f>AND(#REF!,"AAAAAD+X+ic=")</f>
        <v>#REF!</v>
      </c>
      <c r="AO15" t="e">
        <f>AND(#REF!,"AAAAAD+X+ig=")</f>
        <v>#REF!</v>
      </c>
      <c r="AP15" t="e">
        <f>AND(#REF!,"AAAAAD+X+ik=")</f>
        <v>#REF!</v>
      </c>
      <c r="AQ15" t="e">
        <f>AND(#REF!,"AAAAAD+X+io=")</f>
        <v>#REF!</v>
      </c>
      <c r="AR15" t="e">
        <f>AND(#REF!,"AAAAAD+X+is=")</f>
        <v>#REF!</v>
      </c>
      <c r="AS15" t="e">
        <f>AND(#REF!,"AAAAAD+X+iw=")</f>
        <v>#REF!</v>
      </c>
      <c r="AT15" t="e">
        <f>AND(#REF!,"AAAAAD+X+i0=")</f>
        <v>#REF!</v>
      </c>
      <c r="AU15" t="e">
        <f>AND(#REF!,"AAAAAD+X+i4=")</f>
        <v>#REF!</v>
      </c>
      <c r="AV15" t="e">
        <f>IF(#REF!,"AAAAAD+X+i8=",0)</f>
        <v>#REF!</v>
      </c>
      <c r="AW15" t="e">
        <f>AND(#REF!,"AAAAAD+X+jA=")</f>
        <v>#REF!</v>
      </c>
      <c r="AX15" t="e">
        <f>AND(#REF!,"AAAAAD+X+jE=")</f>
        <v>#REF!</v>
      </c>
      <c r="AY15" t="e">
        <f>AND(#REF!,"AAAAAD+X+jI=")</f>
        <v>#REF!</v>
      </c>
      <c r="AZ15" t="e">
        <f>AND(#REF!,"AAAAAD+X+jM=")</f>
        <v>#REF!</v>
      </c>
      <c r="BA15" t="e">
        <f>AND(#REF!,"AAAAAD+X+jQ=")</f>
        <v>#REF!</v>
      </c>
      <c r="BB15" t="e">
        <f>AND(#REF!,"AAAAAD+X+jU=")</f>
        <v>#REF!</v>
      </c>
      <c r="BC15" t="e">
        <f>AND(#REF!,"AAAAAD+X+jY=")</f>
        <v>#REF!</v>
      </c>
      <c r="BD15" t="e">
        <f>AND(#REF!,"AAAAAD+X+jc=")</f>
        <v>#REF!</v>
      </c>
      <c r="BE15" t="e">
        <f>AND(#REF!,"AAAAAD+X+jg=")</f>
        <v>#REF!</v>
      </c>
      <c r="BF15" t="e">
        <f>AND(#REF!,"AAAAAD+X+jk=")</f>
        <v>#REF!</v>
      </c>
      <c r="BG15" t="e">
        <f>AND(#REF!,"AAAAAD+X+jo=")</f>
        <v>#REF!</v>
      </c>
      <c r="BH15" t="e">
        <f>AND(#REF!,"AAAAAD+X+js=")</f>
        <v>#REF!</v>
      </c>
      <c r="BI15" t="e">
        <f>IF(#REF!,"AAAAAD+X+jw=",0)</f>
        <v>#REF!</v>
      </c>
      <c r="BJ15" t="e">
        <f>AND(#REF!,"AAAAAD+X+j0=")</f>
        <v>#REF!</v>
      </c>
      <c r="BK15" t="e">
        <f>AND(#REF!,"AAAAAD+X+j4=")</f>
        <v>#REF!</v>
      </c>
      <c r="BL15" t="e">
        <f>AND(#REF!,"AAAAAD+X+j8=")</f>
        <v>#REF!</v>
      </c>
      <c r="BM15" t="e">
        <f>AND(#REF!,"AAAAAD+X+kA=")</f>
        <v>#REF!</v>
      </c>
      <c r="BN15" t="e">
        <f>AND(#REF!,"AAAAAD+X+kE=")</f>
        <v>#REF!</v>
      </c>
      <c r="BO15" t="e">
        <f>AND(#REF!,"AAAAAD+X+kI=")</f>
        <v>#REF!</v>
      </c>
      <c r="BP15" t="e">
        <f>AND(#REF!,"AAAAAD+X+kM=")</f>
        <v>#REF!</v>
      </c>
      <c r="BQ15" t="e">
        <f>AND(#REF!,"AAAAAD+X+kQ=")</f>
        <v>#REF!</v>
      </c>
      <c r="BR15" t="e">
        <f>AND(#REF!,"AAAAAD+X+kU=")</f>
        <v>#REF!</v>
      </c>
      <c r="BS15" t="e">
        <f>AND(#REF!,"AAAAAD+X+kY=")</f>
        <v>#REF!</v>
      </c>
      <c r="BT15" t="e">
        <f>AND(#REF!,"AAAAAD+X+kc=")</f>
        <v>#REF!</v>
      </c>
      <c r="BU15" t="e">
        <f>AND(#REF!,"AAAAAD+X+kg=")</f>
        <v>#REF!</v>
      </c>
      <c r="BV15" t="e">
        <f>IF(#REF!,"AAAAAD+X+kk=",0)</f>
        <v>#REF!</v>
      </c>
      <c r="BW15" t="e">
        <f>AND(#REF!,"AAAAAD+X+ko=")</f>
        <v>#REF!</v>
      </c>
      <c r="BX15" t="e">
        <f>AND(#REF!,"AAAAAD+X+ks=")</f>
        <v>#REF!</v>
      </c>
      <c r="BY15" t="e">
        <f>AND(#REF!,"AAAAAD+X+kw=")</f>
        <v>#REF!</v>
      </c>
      <c r="BZ15" t="e">
        <f>AND(#REF!,"AAAAAD+X+k0=")</f>
        <v>#REF!</v>
      </c>
      <c r="CA15" t="e">
        <f>AND(#REF!,"AAAAAD+X+k4=")</f>
        <v>#REF!</v>
      </c>
      <c r="CB15" t="e">
        <f>AND(#REF!,"AAAAAD+X+k8=")</f>
        <v>#REF!</v>
      </c>
      <c r="CC15" t="e">
        <f>AND(#REF!,"AAAAAD+X+lA=")</f>
        <v>#REF!</v>
      </c>
      <c r="CD15" t="e">
        <f>AND(#REF!,"AAAAAD+X+lE=")</f>
        <v>#REF!</v>
      </c>
      <c r="CE15" t="e">
        <f>AND(#REF!,"AAAAAD+X+lI=")</f>
        <v>#REF!</v>
      </c>
      <c r="CF15" t="e">
        <f>AND(#REF!,"AAAAAD+X+lM=")</f>
        <v>#REF!</v>
      </c>
      <c r="CG15" t="e">
        <f>AND(#REF!,"AAAAAD+X+lQ=")</f>
        <v>#REF!</v>
      </c>
      <c r="CH15" t="e">
        <f>AND(#REF!,"AAAAAD+X+lU=")</f>
        <v>#REF!</v>
      </c>
      <c r="CI15" t="e">
        <f>IF(#REF!,"AAAAAD+X+lY=",0)</f>
        <v>#REF!</v>
      </c>
      <c r="CJ15" t="e">
        <f>AND(#REF!,"AAAAAD+X+lc=")</f>
        <v>#REF!</v>
      </c>
      <c r="CK15" t="e">
        <f>AND(#REF!,"AAAAAD+X+lg=")</f>
        <v>#REF!</v>
      </c>
      <c r="CL15" t="e">
        <f>AND(#REF!,"AAAAAD+X+lk=")</f>
        <v>#REF!</v>
      </c>
      <c r="CM15" t="e">
        <f>AND(#REF!,"AAAAAD+X+lo=")</f>
        <v>#REF!</v>
      </c>
      <c r="CN15" t="e">
        <f>AND(#REF!,"AAAAAD+X+ls=")</f>
        <v>#REF!</v>
      </c>
      <c r="CO15" t="e">
        <f>AND(#REF!,"AAAAAD+X+lw=")</f>
        <v>#REF!</v>
      </c>
      <c r="CP15" t="e">
        <f>AND(#REF!,"AAAAAD+X+l0=")</f>
        <v>#REF!</v>
      </c>
      <c r="CQ15" t="e">
        <f>AND(#REF!,"AAAAAD+X+l4=")</f>
        <v>#REF!</v>
      </c>
      <c r="CR15" t="e">
        <f>AND(#REF!,"AAAAAD+X+l8=")</f>
        <v>#REF!</v>
      </c>
      <c r="CS15" t="e">
        <f>AND(#REF!,"AAAAAD+X+mA=")</f>
        <v>#REF!</v>
      </c>
      <c r="CT15" t="e">
        <f>AND(#REF!,"AAAAAD+X+mE=")</f>
        <v>#REF!</v>
      </c>
      <c r="CU15" t="e">
        <f>AND(#REF!,"AAAAAD+X+mI=")</f>
        <v>#REF!</v>
      </c>
      <c r="CV15" t="e">
        <f>IF(#REF!,"AAAAAD+X+mM=",0)</f>
        <v>#REF!</v>
      </c>
      <c r="CW15" t="e">
        <f>AND(#REF!,"AAAAAD+X+mQ=")</f>
        <v>#REF!</v>
      </c>
      <c r="CX15" t="e">
        <f>AND(#REF!,"AAAAAD+X+mU=")</f>
        <v>#REF!</v>
      </c>
      <c r="CY15" t="e">
        <f>AND(#REF!,"AAAAAD+X+mY=")</f>
        <v>#REF!</v>
      </c>
      <c r="CZ15" t="e">
        <f>AND(#REF!,"AAAAAD+X+mc=")</f>
        <v>#REF!</v>
      </c>
      <c r="DA15" t="e">
        <f>AND(#REF!,"AAAAAD+X+mg=")</f>
        <v>#REF!</v>
      </c>
      <c r="DB15" t="e">
        <f>AND(#REF!,"AAAAAD+X+mk=")</f>
        <v>#REF!</v>
      </c>
      <c r="DC15" t="e">
        <f>AND(#REF!,"AAAAAD+X+mo=")</f>
        <v>#REF!</v>
      </c>
      <c r="DD15" t="e">
        <f>AND(#REF!,"AAAAAD+X+ms=")</f>
        <v>#REF!</v>
      </c>
      <c r="DE15" t="e">
        <f>AND(#REF!,"AAAAAD+X+mw=")</f>
        <v>#REF!</v>
      </c>
      <c r="DF15" t="e">
        <f>AND(#REF!,"AAAAAD+X+m0=")</f>
        <v>#REF!</v>
      </c>
      <c r="DG15" t="e">
        <f>AND(#REF!,"AAAAAD+X+m4=")</f>
        <v>#REF!</v>
      </c>
      <c r="DH15" t="e">
        <f>AND(#REF!,"AAAAAD+X+m8=")</f>
        <v>#REF!</v>
      </c>
      <c r="DI15" t="e">
        <f>IF(#REF!,"AAAAAD+X+nA=",0)</f>
        <v>#REF!</v>
      </c>
      <c r="DJ15" t="e">
        <f>AND(#REF!,"AAAAAD+X+nE=")</f>
        <v>#REF!</v>
      </c>
      <c r="DK15" t="e">
        <f>AND(#REF!,"AAAAAD+X+nI=")</f>
        <v>#REF!</v>
      </c>
      <c r="DL15" t="e">
        <f>AND(#REF!,"AAAAAD+X+nM=")</f>
        <v>#REF!</v>
      </c>
      <c r="DM15" t="e">
        <f>AND(#REF!,"AAAAAD+X+nQ=")</f>
        <v>#REF!</v>
      </c>
      <c r="DN15" t="e">
        <f>AND(#REF!,"AAAAAD+X+nU=")</f>
        <v>#REF!</v>
      </c>
      <c r="DO15" t="e">
        <f>AND(#REF!,"AAAAAD+X+nY=")</f>
        <v>#REF!</v>
      </c>
      <c r="DP15" t="e">
        <f>AND(#REF!,"AAAAAD+X+nc=")</f>
        <v>#REF!</v>
      </c>
      <c r="DQ15" t="e">
        <f>AND(#REF!,"AAAAAD+X+ng=")</f>
        <v>#REF!</v>
      </c>
      <c r="DR15" t="e">
        <f>AND(#REF!,"AAAAAD+X+nk=")</f>
        <v>#REF!</v>
      </c>
      <c r="DS15" t="e">
        <f>AND(#REF!,"AAAAAD+X+no=")</f>
        <v>#REF!</v>
      </c>
      <c r="DT15" t="e">
        <f>AND(#REF!,"AAAAAD+X+ns=")</f>
        <v>#REF!</v>
      </c>
      <c r="DU15" t="e">
        <f>AND(#REF!,"AAAAAD+X+nw=")</f>
        <v>#REF!</v>
      </c>
      <c r="DV15" t="e">
        <f>IF(#REF!,"AAAAAD+X+n0=",0)</f>
        <v>#REF!</v>
      </c>
      <c r="DW15" t="e">
        <f>AND(#REF!,"AAAAAD+X+n4=")</f>
        <v>#REF!</v>
      </c>
      <c r="DX15" t="e">
        <f>AND(#REF!,"AAAAAD+X+n8=")</f>
        <v>#REF!</v>
      </c>
      <c r="DY15" t="e">
        <f>AND(#REF!,"AAAAAD+X+oA=")</f>
        <v>#REF!</v>
      </c>
      <c r="DZ15" t="e">
        <f>AND(#REF!,"AAAAAD+X+oE=")</f>
        <v>#REF!</v>
      </c>
      <c r="EA15" t="e">
        <f>AND(#REF!,"AAAAAD+X+oI=")</f>
        <v>#REF!</v>
      </c>
      <c r="EB15" t="e">
        <f>AND(#REF!,"AAAAAD+X+oM=")</f>
        <v>#REF!</v>
      </c>
      <c r="EC15" t="e">
        <f>AND(#REF!,"AAAAAD+X+oQ=")</f>
        <v>#REF!</v>
      </c>
      <c r="ED15" t="e">
        <f>AND(#REF!,"AAAAAD+X+oU=")</f>
        <v>#REF!</v>
      </c>
      <c r="EE15" t="e">
        <f>AND(#REF!,"AAAAAD+X+oY=")</f>
        <v>#REF!</v>
      </c>
      <c r="EF15" t="e">
        <f>AND(#REF!,"AAAAAD+X+oc=")</f>
        <v>#REF!</v>
      </c>
      <c r="EG15" t="e">
        <f>AND(#REF!,"AAAAAD+X+og=")</f>
        <v>#REF!</v>
      </c>
      <c r="EH15" t="e">
        <f>AND(#REF!,"AAAAAD+X+ok=")</f>
        <v>#REF!</v>
      </c>
      <c r="EI15" t="e">
        <f>IF(#REF!,"AAAAAD+X+oo=",0)</f>
        <v>#REF!</v>
      </c>
      <c r="EJ15" t="e">
        <f>AND(#REF!,"AAAAAD+X+os=")</f>
        <v>#REF!</v>
      </c>
      <c r="EK15" t="e">
        <f>AND(#REF!,"AAAAAD+X+ow=")</f>
        <v>#REF!</v>
      </c>
      <c r="EL15" t="e">
        <f>AND(#REF!,"AAAAAD+X+o0=")</f>
        <v>#REF!</v>
      </c>
      <c r="EM15" t="e">
        <f>AND(#REF!,"AAAAAD+X+o4=")</f>
        <v>#REF!</v>
      </c>
      <c r="EN15" t="e">
        <f>AND(#REF!,"AAAAAD+X+o8=")</f>
        <v>#REF!</v>
      </c>
      <c r="EO15" t="e">
        <f>AND(#REF!,"AAAAAD+X+pA=")</f>
        <v>#REF!</v>
      </c>
      <c r="EP15" t="e">
        <f>AND(#REF!,"AAAAAD+X+pE=")</f>
        <v>#REF!</v>
      </c>
      <c r="EQ15" t="e">
        <f>AND(#REF!,"AAAAAD+X+pI=")</f>
        <v>#REF!</v>
      </c>
      <c r="ER15" t="e">
        <f>AND(#REF!,"AAAAAD+X+pM=")</f>
        <v>#REF!</v>
      </c>
      <c r="ES15" t="e">
        <f>AND(#REF!,"AAAAAD+X+pQ=")</f>
        <v>#REF!</v>
      </c>
      <c r="ET15" t="e">
        <f>AND(#REF!,"AAAAAD+X+pU=")</f>
        <v>#REF!</v>
      </c>
      <c r="EU15" t="e">
        <f>AND(#REF!,"AAAAAD+X+pY=")</f>
        <v>#REF!</v>
      </c>
      <c r="EV15" t="e">
        <f>IF(#REF!,"AAAAAD+X+pc=",0)</f>
        <v>#REF!</v>
      </c>
      <c r="EW15" t="e">
        <f>AND(#REF!,"AAAAAD+X+pg=")</f>
        <v>#REF!</v>
      </c>
      <c r="EX15" t="e">
        <f>AND(#REF!,"AAAAAD+X+pk=")</f>
        <v>#REF!</v>
      </c>
      <c r="EY15" t="e">
        <f>AND(#REF!,"AAAAAD+X+po=")</f>
        <v>#REF!</v>
      </c>
      <c r="EZ15" t="e">
        <f>AND(#REF!,"AAAAAD+X+ps=")</f>
        <v>#REF!</v>
      </c>
      <c r="FA15" t="e">
        <f>AND(#REF!,"AAAAAD+X+pw=")</f>
        <v>#REF!</v>
      </c>
      <c r="FB15" t="e">
        <f>AND(#REF!,"AAAAAD+X+p0=")</f>
        <v>#REF!</v>
      </c>
      <c r="FC15" t="e">
        <f>AND(#REF!,"AAAAAD+X+p4=")</f>
        <v>#REF!</v>
      </c>
      <c r="FD15" t="e">
        <f>AND(#REF!,"AAAAAD+X+p8=")</f>
        <v>#REF!</v>
      </c>
      <c r="FE15" t="e">
        <f>AND(#REF!,"AAAAAD+X+qA=")</f>
        <v>#REF!</v>
      </c>
      <c r="FF15" t="e">
        <f>AND(#REF!,"AAAAAD+X+qE=")</f>
        <v>#REF!</v>
      </c>
      <c r="FG15" t="e">
        <f>AND(#REF!,"AAAAAD+X+qI=")</f>
        <v>#REF!</v>
      </c>
      <c r="FH15" t="e">
        <f>AND(#REF!,"AAAAAD+X+qM=")</f>
        <v>#REF!</v>
      </c>
      <c r="FI15" t="e">
        <f>IF(#REF!,"AAAAAD+X+qQ=",0)</f>
        <v>#REF!</v>
      </c>
      <c r="FJ15" t="e">
        <f>AND(#REF!,"AAAAAD+X+qU=")</f>
        <v>#REF!</v>
      </c>
      <c r="FK15" t="e">
        <f>AND(#REF!,"AAAAAD+X+qY=")</f>
        <v>#REF!</v>
      </c>
      <c r="FL15" t="e">
        <f>AND(#REF!,"AAAAAD+X+qc=")</f>
        <v>#REF!</v>
      </c>
      <c r="FM15" t="e">
        <f>AND(#REF!,"AAAAAD+X+qg=")</f>
        <v>#REF!</v>
      </c>
      <c r="FN15" t="e">
        <f>AND(#REF!,"AAAAAD+X+qk=")</f>
        <v>#REF!</v>
      </c>
      <c r="FO15" t="e">
        <f>AND(#REF!,"AAAAAD+X+qo=")</f>
        <v>#REF!</v>
      </c>
      <c r="FP15" t="e">
        <f>AND(#REF!,"AAAAAD+X+qs=")</f>
        <v>#REF!</v>
      </c>
      <c r="FQ15" t="e">
        <f>AND(#REF!,"AAAAAD+X+qw=")</f>
        <v>#REF!</v>
      </c>
      <c r="FR15" t="e">
        <f>AND(#REF!,"AAAAAD+X+q0=")</f>
        <v>#REF!</v>
      </c>
      <c r="FS15" t="e">
        <f>AND(#REF!,"AAAAAD+X+q4=")</f>
        <v>#REF!</v>
      </c>
      <c r="FT15" t="e">
        <f>AND(#REF!,"AAAAAD+X+q8=")</f>
        <v>#REF!</v>
      </c>
      <c r="FU15" t="e">
        <f>AND(#REF!,"AAAAAD+X+rA=")</f>
        <v>#REF!</v>
      </c>
      <c r="FV15" t="e">
        <f>IF(#REF!,"AAAAAD+X+rE=",0)</f>
        <v>#REF!</v>
      </c>
      <c r="FW15" t="e">
        <f>AND(#REF!,"AAAAAD+X+rI=")</f>
        <v>#REF!</v>
      </c>
      <c r="FX15" t="e">
        <f>AND(#REF!,"AAAAAD+X+rM=")</f>
        <v>#REF!</v>
      </c>
      <c r="FY15" t="e">
        <f>AND(#REF!,"AAAAAD+X+rQ=")</f>
        <v>#REF!</v>
      </c>
      <c r="FZ15" t="e">
        <f>AND(#REF!,"AAAAAD+X+rU=")</f>
        <v>#REF!</v>
      </c>
      <c r="GA15" t="e">
        <f>AND(#REF!,"AAAAAD+X+rY=")</f>
        <v>#REF!</v>
      </c>
      <c r="GB15" t="e">
        <f>AND(#REF!,"AAAAAD+X+rc=")</f>
        <v>#REF!</v>
      </c>
      <c r="GC15" t="e">
        <f>AND(#REF!,"AAAAAD+X+rg=")</f>
        <v>#REF!</v>
      </c>
      <c r="GD15" t="e">
        <f>AND(#REF!,"AAAAAD+X+rk=")</f>
        <v>#REF!</v>
      </c>
      <c r="GE15" t="e">
        <f>AND(#REF!,"AAAAAD+X+ro=")</f>
        <v>#REF!</v>
      </c>
      <c r="GF15" t="e">
        <f>AND(#REF!,"AAAAAD+X+rs=")</f>
        <v>#REF!</v>
      </c>
      <c r="GG15" t="e">
        <f>AND(#REF!,"AAAAAD+X+rw=")</f>
        <v>#REF!</v>
      </c>
      <c r="GH15" t="e">
        <f>AND(#REF!,"AAAAAD+X+r0=")</f>
        <v>#REF!</v>
      </c>
      <c r="GI15" t="e">
        <f>IF(#REF!,"AAAAAD+X+r4=",0)</f>
        <v>#REF!</v>
      </c>
      <c r="GJ15" t="e">
        <f>AND(#REF!,"AAAAAD+X+r8=")</f>
        <v>#REF!</v>
      </c>
      <c r="GK15" t="e">
        <f>AND(#REF!,"AAAAAD+X+sA=")</f>
        <v>#REF!</v>
      </c>
      <c r="GL15" t="e">
        <f>AND(#REF!,"AAAAAD+X+sE=")</f>
        <v>#REF!</v>
      </c>
      <c r="GM15" t="e">
        <f>AND(#REF!,"AAAAAD+X+sI=")</f>
        <v>#REF!</v>
      </c>
      <c r="GN15" t="e">
        <f>AND(#REF!,"AAAAAD+X+sM=")</f>
        <v>#REF!</v>
      </c>
      <c r="GO15" t="e">
        <f>AND(#REF!,"AAAAAD+X+sQ=")</f>
        <v>#REF!</v>
      </c>
      <c r="GP15" t="e">
        <f>AND(#REF!,"AAAAAD+X+sU=")</f>
        <v>#REF!</v>
      </c>
      <c r="GQ15" t="e">
        <f>AND(#REF!,"AAAAAD+X+sY=")</f>
        <v>#REF!</v>
      </c>
      <c r="GR15" t="e">
        <f>AND(#REF!,"AAAAAD+X+sc=")</f>
        <v>#REF!</v>
      </c>
      <c r="GS15" t="e">
        <f>AND(#REF!,"AAAAAD+X+sg=")</f>
        <v>#REF!</v>
      </c>
      <c r="GT15" t="e">
        <f>AND(#REF!,"AAAAAD+X+sk=")</f>
        <v>#REF!</v>
      </c>
      <c r="GU15" t="e">
        <f>AND(#REF!,"AAAAAD+X+so=")</f>
        <v>#REF!</v>
      </c>
      <c r="GV15" t="e">
        <f>IF(#REF!,"AAAAAD+X+ss=",0)</f>
        <v>#REF!</v>
      </c>
      <c r="GW15" t="e">
        <f>AND(#REF!,"AAAAAD+X+sw=")</f>
        <v>#REF!</v>
      </c>
      <c r="GX15" t="e">
        <f>AND(#REF!,"AAAAAD+X+s0=")</f>
        <v>#REF!</v>
      </c>
      <c r="GY15" t="e">
        <f>AND(#REF!,"AAAAAD+X+s4=")</f>
        <v>#REF!</v>
      </c>
      <c r="GZ15" t="e">
        <f>AND(#REF!,"AAAAAD+X+s8=")</f>
        <v>#REF!</v>
      </c>
      <c r="HA15" t="e">
        <f>AND(#REF!,"AAAAAD+X+tA=")</f>
        <v>#REF!</v>
      </c>
      <c r="HB15" t="e">
        <f>AND(#REF!,"AAAAAD+X+tE=")</f>
        <v>#REF!</v>
      </c>
      <c r="HC15" t="e">
        <f>AND(#REF!,"AAAAAD+X+tI=")</f>
        <v>#REF!</v>
      </c>
      <c r="HD15" t="e">
        <f>AND(#REF!,"AAAAAD+X+tM=")</f>
        <v>#REF!</v>
      </c>
      <c r="HE15" t="e">
        <f>AND(#REF!,"AAAAAD+X+tQ=")</f>
        <v>#REF!</v>
      </c>
      <c r="HF15" t="e">
        <f>AND(#REF!,"AAAAAD+X+tU=")</f>
        <v>#REF!</v>
      </c>
      <c r="HG15" t="e">
        <f>AND(#REF!,"AAAAAD+X+tY=")</f>
        <v>#REF!</v>
      </c>
      <c r="HH15" t="e">
        <f>AND(#REF!,"AAAAAD+X+tc=")</f>
        <v>#REF!</v>
      </c>
      <c r="HI15" t="e">
        <f>IF(#REF!,"AAAAAD+X+tg=",0)</f>
        <v>#REF!</v>
      </c>
      <c r="HJ15" t="e">
        <f>AND(#REF!,"AAAAAD+X+tk=")</f>
        <v>#REF!</v>
      </c>
      <c r="HK15" t="e">
        <f>AND(#REF!,"AAAAAD+X+to=")</f>
        <v>#REF!</v>
      </c>
      <c r="HL15" t="e">
        <f>AND(#REF!,"AAAAAD+X+ts=")</f>
        <v>#REF!</v>
      </c>
      <c r="HM15" t="e">
        <f>AND(#REF!,"AAAAAD+X+tw=")</f>
        <v>#REF!</v>
      </c>
      <c r="HN15" t="e">
        <f>AND(#REF!,"AAAAAD+X+t0=")</f>
        <v>#REF!</v>
      </c>
      <c r="HO15" t="e">
        <f>AND(#REF!,"AAAAAD+X+t4=")</f>
        <v>#REF!</v>
      </c>
      <c r="HP15" t="e">
        <f>AND(#REF!,"AAAAAD+X+t8=")</f>
        <v>#REF!</v>
      </c>
      <c r="HQ15" t="e">
        <f>AND(#REF!,"AAAAAD+X+uA=")</f>
        <v>#REF!</v>
      </c>
      <c r="HR15" t="e">
        <f>AND(#REF!,"AAAAAD+X+uE=")</f>
        <v>#REF!</v>
      </c>
      <c r="HS15" t="e">
        <f>AND(#REF!,"AAAAAD+X+uI=")</f>
        <v>#REF!</v>
      </c>
      <c r="HT15" t="e">
        <f>AND(#REF!,"AAAAAD+X+uM=")</f>
        <v>#REF!</v>
      </c>
      <c r="HU15" t="e">
        <f>AND(#REF!,"AAAAAD+X+uQ=")</f>
        <v>#REF!</v>
      </c>
      <c r="HV15" t="e">
        <f>IF(#REF!,"AAAAAD+X+uU=",0)</f>
        <v>#REF!</v>
      </c>
      <c r="HW15" t="e">
        <f>AND(#REF!,"AAAAAD+X+uY=")</f>
        <v>#REF!</v>
      </c>
      <c r="HX15" t="e">
        <f>AND(#REF!,"AAAAAD+X+uc=")</f>
        <v>#REF!</v>
      </c>
      <c r="HY15" t="e">
        <f>AND(#REF!,"AAAAAD+X+ug=")</f>
        <v>#REF!</v>
      </c>
      <c r="HZ15" t="e">
        <f>AND(#REF!,"AAAAAD+X+uk=")</f>
        <v>#REF!</v>
      </c>
      <c r="IA15" t="e">
        <f>AND(#REF!,"AAAAAD+X+uo=")</f>
        <v>#REF!</v>
      </c>
      <c r="IB15" t="e">
        <f>AND(#REF!,"AAAAAD+X+us=")</f>
        <v>#REF!</v>
      </c>
      <c r="IC15" t="e">
        <f>AND(#REF!,"AAAAAD+X+uw=")</f>
        <v>#REF!</v>
      </c>
      <c r="ID15" t="e">
        <f>AND(#REF!,"AAAAAD+X+u0=")</f>
        <v>#REF!</v>
      </c>
      <c r="IE15" t="e">
        <f>AND(#REF!,"AAAAAD+X+u4=")</f>
        <v>#REF!</v>
      </c>
      <c r="IF15" t="e">
        <f>AND(#REF!,"AAAAAD+X+u8=")</f>
        <v>#REF!</v>
      </c>
      <c r="IG15" t="e">
        <f>AND(#REF!,"AAAAAD+X+vA=")</f>
        <v>#REF!</v>
      </c>
      <c r="IH15" t="e">
        <f>AND(#REF!,"AAAAAD+X+vE=")</f>
        <v>#REF!</v>
      </c>
      <c r="II15" t="e">
        <f>IF(#REF!,"AAAAAD+X+vI=",0)</f>
        <v>#REF!</v>
      </c>
      <c r="IJ15" t="e">
        <f>AND(#REF!,"AAAAAD+X+vM=")</f>
        <v>#REF!</v>
      </c>
      <c r="IK15" t="e">
        <f>AND(#REF!,"AAAAAD+X+vQ=")</f>
        <v>#REF!</v>
      </c>
      <c r="IL15" t="e">
        <f>AND(#REF!,"AAAAAD+X+vU=")</f>
        <v>#REF!</v>
      </c>
      <c r="IM15" t="e">
        <f>AND(#REF!,"AAAAAD+X+vY=")</f>
        <v>#REF!</v>
      </c>
      <c r="IN15" t="e">
        <f>AND(#REF!,"AAAAAD+X+vc=")</f>
        <v>#REF!</v>
      </c>
      <c r="IO15" t="e">
        <f>AND(#REF!,"AAAAAD+X+vg=")</f>
        <v>#REF!</v>
      </c>
      <c r="IP15" t="e">
        <f>AND(#REF!,"AAAAAD+X+vk=")</f>
        <v>#REF!</v>
      </c>
      <c r="IQ15" t="e">
        <f>AND(#REF!,"AAAAAD+X+vo=")</f>
        <v>#REF!</v>
      </c>
      <c r="IR15" t="e">
        <f>AND(#REF!,"AAAAAD+X+vs=")</f>
        <v>#REF!</v>
      </c>
      <c r="IS15" t="e">
        <f>AND(#REF!,"AAAAAD+X+vw=")</f>
        <v>#REF!</v>
      </c>
      <c r="IT15" t="e">
        <f>AND(#REF!,"AAAAAD+X+v0=")</f>
        <v>#REF!</v>
      </c>
      <c r="IU15" t="e">
        <f>AND(#REF!,"AAAAAD+X+v4=")</f>
        <v>#REF!</v>
      </c>
      <c r="IV15" t="e">
        <f>IF(#REF!,"AAAAAD+X+v8=",0)</f>
        <v>#REF!</v>
      </c>
    </row>
    <row r="16" spans="1:256">
      <c r="A16" t="e">
        <f>AND(#REF!,"AAAAACBp+QA=")</f>
        <v>#REF!</v>
      </c>
      <c r="B16" t="e">
        <f>AND(#REF!,"AAAAACBp+QE=")</f>
        <v>#REF!</v>
      </c>
      <c r="C16" t="e">
        <f>AND(#REF!,"AAAAACBp+QI=")</f>
        <v>#REF!</v>
      </c>
      <c r="D16" t="e">
        <f>AND(#REF!,"AAAAACBp+QM=")</f>
        <v>#REF!</v>
      </c>
      <c r="E16" t="e">
        <f>AND(#REF!,"AAAAACBp+QQ=")</f>
        <v>#REF!</v>
      </c>
      <c r="F16" t="e">
        <f>AND(#REF!,"AAAAACBp+QU=")</f>
        <v>#REF!</v>
      </c>
      <c r="G16" t="e">
        <f>AND(#REF!,"AAAAACBp+QY=")</f>
        <v>#REF!</v>
      </c>
      <c r="H16" t="e">
        <f>AND(#REF!,"AAAAACBp+Qc=")</f>
        <v>#REF!</v>
      </c>
      <c r="I16" t="e">
        <f>AND(#REF!,"AAAAACBp+Qg=")</f>
        <v>#REF!</v>
      </c>
      <c r="J16" t="e">
        <f>AND(#REF!,"AAAAACBp+Qk=")</f>
        <v>#REF!</v>
      </c>
      <c r="K16" t="e">
        <f>AND(#REF!,"AAAAACBp+Qo=")</f>
        <v>#REF!</v>
      </c>
      <c r="L16" t="e">
        <f>AND(#REF!,"AAAAACBp+Qs=")</f>
        <v>#REF!</v>
      </c>
      <c r="M16" t="e">
        <f>IF(#REF!,"AAAAACBp+Qw=",0)</f>
        <v>#REF!</v>
      </c>
      <c r="N16" t="e">
        <f>AND(#REF!,"AAAAACBp+Q0=")</f>
        <v>#REF!</v>
      </c>
      <c r="O16" t="e">
        <f>AND(#REF!,"AAAAACBp+Q4=")</f>
        <v>#REF!</v>
      </c>
      <c r="P16" t="e">
        <f>AND(#REF!,"AAAAACBp+Q8=")</f>
        <v>#REF!</v>
      </c>
      <c r="Q16" t="e">
        <f>AND(#REF!,"AAAAACBp+RA=")</f>
        <v>#REF!</v>
      </c>
      <c r="R16" t="e">
        <f>AND(#REF!,"AAAAACBp+RE=")</f>
        <v>#REF!</v>
      </c>
      <c r="S16" t="e">
        <f>AND(#REF!,"AAAAACBp+RI=")</f>
        <v>#REF!</v>
      </c>
      <c r="T16" t="e">
        <f>AND(#REF!,"AAAAACBp+RM=")</f>
        <v>#REF!</v>
      </c>
      <c r="U16" t="e">
        <f>AND(#REF!,"AAAAACBp+RQ=")</f>
        <v>#REF!</v>
      </c>
      <c r="V16" t="e">
        <f>AND(#REF!,"AAAAACBp+RU=")</f>
        <v>#REF!</v>
      </c>
      <c r="W16" t="e">
        <f>AND(#REF!,"AAAAACBp+RY=")</f>
        <v>#REF!</v>
      </c>
      <c r="X16" t="e">
        <f>AND(#REF!,"AAAAACBp+Rc=")</f>
        <v>#REF!</v>
      </c>
      <c r="Y16" t="e">
        <f>AND(#REF!,"AAAAACBp+Rg=")</f>
        <v>#REF!</v>
      </c>
      <c r="Z16" t="e">
        <f>IF(#REF!,"AAAAACBp+Rk=",0)</f>
        <v>#REF!</v>
      </c>
      <c r="AA16" t="e">
        <f>AND(#REF!,"AAAAACBp+Ro=")</f>
        <v>#REF!</v>
      </c>
      <c r="AB16" t="e">
        <f>AND(#REF!,"AAAAACBp+Rs=")</f>
        <v>#REF!</v>
      </c>
      <c r="AC16" t="e">
        <f>AND(#REF!,"AAAAACBp+Rw=")</f>
        <v>#REF!</v>
      </c>
      <c r="AD16" t="e">
        <f>AND(#REF!,"AAAAACBp+R0=")</f>
        <v>#REF!</v>
      </c>
      <c r="AE16" t="e">
        <f>AND(#REF!,"AAAAACBp+R4=")</f>
        <v>#REF!</v>
      </c>
      <c r="AF16" t="e">
        <f>AND(#REF!,"AAAAACBp+R8=")</f>
        <v>#REF!</v>
      </c>
      <c r="AG16" t="e">
        <f>AND(#REF!,"AAAAACBp+SA=")</f>
        <v>#REF!</v>
      </c>
      <c r="AH16" t="e">
        <f>AND(#REF!,"AAAAACBp+SE=")</f>
        <v>#REF!</v>
      </c>
      <c r="AI16" t="e">
        <f>AND(#REF!,"AAAAACBp+SI=")</f>
        <v>#REF!</v>
      </c>
      <c r="AJ16" t="e">
        <f>AND(#REF!,"AAAAACBp+SM=")</f>
        <v>#REF!</v>
      </c>
      <c r="AK16" t="e">
        <f>AND(#REF!,"AAAAACBp+SQ=")</f>
        <v>#REF!</v>
      </c>
      <c r="AL16" t="e">
        <f>AND(#REF!,"AAAAACBp+SU=")</f>
        <v>#REF!</v>
      </c>
      <c r="AM16" t="e">
        <f>IF(#REF!,"AAAAACBp+SY=",0)</f>
        <v>#REF!</v>
      </c>
      <c r="AN16" t="e">
        <f>AND(#REF!,"AAAAACBp+Sc=")</f>
        <v>#REF!</v>
      </c>
      <c r="AO16" t="e">
        <f>AND(#REF!,"AAAAACBp+Sg=")</f>
        <v>#REF!</v>
      </c>
      <c r="AP16" t="e">
        <f>AND(#REF!,"AAAAACBp+Sk=")</f>
        <v>#REF!</v>
      </c>
      <c r="AQ16" t="e">
        <f>AND(#REF!,"AAAAACBp+So=")</f>
        <v>#REF!</v>
      </c>
      <c r="AR16" t="e">
        <f>AND(#REF!,"AAAAACBp+Ss=")</f>
        <v>#REF!</v>
      </c>
      <c r="AS16" t="e">
        <f>AND(#REF!,"AAAAACBp+Sw=")</f>
        <v>#REF!</v>
      </c>
      <c r="AT16" t="e">
        <f>AND(#REF!,"AAAAACBp+S0=")</f>
        <v>#REF!</v>
      </c>
      <c r="AU16" t="e">
        <f>AND(#REF!,"AAAAACBp+S4=")</f>
        <v>#REF!</v>
      </c>
      <c r="AV16" t="e">
        <f>AND(#REF!,"AAAAACBp+S8=")</f>
        <v>#REF!</v>
      </c>
      <c r="AW16" t="e">
        <f>AND(#REF!,"AAAAACBp+TA=")</f>
        <v>#REF!</v>
      </c>
      <c r="AX16" t="e">
        <f>AND(#REF!,"AAAAACBp+TE=")</f>
        <v>#REF!</v>
      </c>
      <c r="AY16" t="e">
        <f>AND(#REF!,"AAAAACBp+TI=")</f>
        <v>#REF!</v>
      </c>
      <c r="AZ16" t="e">
        <f>IF(#REF!,"AAAAACBp+TM=",0)</f>
        <v>#REF!</v>
      </c>
      <c r="BA16" t="e">
        <f>AND(#REF!,"AAAAACBp+TQ=")</f>
        <v>#REF!</v>
      </c>
      <c r="BB16" t="e">
        <f>AND(#REF!,"AAAAACBp+TU=")</f>
        <v>#REF!</v>
      </c>
      <c r="BC16" t="e">
        <f>AND(#REF!,"AAAAACBp+TY=")</f>
        <v>#REF!</v>
      </c>
      <c r="BD16" t="e">
        <f>AND(#REF!,"AAAAACBp+Tc=")</f>
        <v>#REF!</v>
      </c>
      <c r="BE16" t="e">
        <f>AND(#REF!,"AAAAACBp+Tg=")</f>
        <v>#REF!</v>
      </c>
      <c r="BF16" t="e">
        <f>AND(#REF!,"AAAAACBp+Tk=")</f>
        <v>#REF!</v>
      </c>
      <c r="BG16" t="e">
        <f>AND(#REF!,"AAAAACBp+To=")</f>
        <v>#REF!</v>
      </c>
      <c r="BH16" t="e">
        <f>AND(#REF!,"AAAAACBp+Ts=")</f>
        <v>#REF!</v>
      </c>
      <c r="BI16" t="e">
        <f>AND(#REF!,"AAAAACBp+Tw=")</f>
        <v>#REF!</v>
      </c>
      <c r="BJ16" t="e">
        <f>AND(#REF!,"AAAAACBp+T0=")</f>
        <v>#REF!</v>
      </c>
      <c r="BK16" t="e">
        <f>AND(#REF!,"AAAAACBp+T4=")</f>
        <v>#REF!</v>
      </c>
      <c r="BL16" t="e">
        <f>AND(#REF!,"AAAAACBp+T8=")</f>
        <v>#REF!</v>
      </c>
      <c r="BM16" t="e">
        <f>IF(#REF!,"AAAAACBp+UA=",0)</f>
        <v>#REF!</v>
      </c>
      <c r="BN16" t="e">
        <f>AND(#REF!,"AAAAACBp+UE=")</f>
        <v>#REF!</v>
      </c>
      <c r="BO16" t="e">
        <f>AND(#REF!,"AAAAACBp+UI=")</f>
        <v>#REF!</v>
      </c>
      <c r="BP16" t="e">
        <f>AND(#REF!,"AAAAACBp+UM=")</f>
        <v>#REF!</v>
      </c>
      <c r="BQ16" t="e">
        <f>AND(#REF!,"AAAAACBp+UQ=")</f>
        <v>#REF!</v>
      </c>
      <c r="BR16" t="e">
        <f>AND(#REF!,"AAAAACBp+UU=")</f>
        <v>#REF!</v>
      </c>
      <c r="BS16" t="e">
        <f>AND(#REF!,"AAAAACBp+UY=")</f>
        <v>#REF!</v>
      </c>
      <c r="BT16" t="e">
        <f>IF(#REF!,"AAAAACBp+Uc=",0)</f>
        <v>#REF!</v>
      </c>
      <c r="BU16" t="e">
        <f>AND(#REF!,"AAAAACBp+Ug=")</f>
        <v>#REF!</v>
      </c>
      <c r="BV16" t="e">
        <f>AND(#REF!,"AAAAACBp+Uk=")</f>
        <v>#REF!</v>
      </c>
      <c r="BW16" t="e">
        <f>AND(#REF!,"AAAAACBp+Uo=")</f>
        <v>#REF!</v>
      </c>
      <c r="BX16" t="e">
        <f>AND(#REF!,"AAAAACBp+Us=")</f>
        <v>#REF!</v>
      </c>
      <c r="BY16" t="e">
        <f>AND(#REF!,"AAAAACBp+Uw=")</f>
        <v>#REF!</v>
      </c>
      <c r="BZ16" t="e">
        <f>AND(#REF!,"AAAAACBp+U0=")</f>
        <v>#REF!</v>
      </c>
      <c r="CA16" t="e">
        <f>IF(#REF!,"AAAAACBp+U4=",0)</f>
        <v>#REF!</v>
      </c>
      <c r="CB16" t="e">
        <f>AND(#REF!,"AAAAACBp+U8=")</f>
        <v>#REF!</v>
      </c>
      <c r="CC16" t="e">
        <f>AND(#REF!,"AAAAACBp+VA=")</f>
        <v>#REF!</v>
      </c>
      <c r="CD16" t="e">
        <f>AND(#REF!,"AAAAACBp+VE=")</f>
        <v>#REF!</v>
      </c>
      <c r="CE16" t="e">
        <f>AND(#REF!,"AAAAACBp+VI=")</f>
        <v>#REF!</v>
      </c>
      <c r="CF16" t="e">
        <f>AND(#REF!,"AAAAACBp+VM=")</f>
        <v>#REF!</v>
      </c>
      <c r="CG16" t="e">
        <f>AND(#REF!,"AAAAACBp+VQ=")</f>
        <v>#REF!</v>
      </c>
      <c r="CH16" t="e">
        <f>IF(#REF!,"AAAAACBp+VU=",0)</f>
        <v>#REF!</v>
      </c>
      <c r="CI16" t="e">
        <f>AND(#REF!,"AAAAACBp+VY=")</f>
        <v>#REF!</v>
      </c>
      <c r="CJ16" t="e">
        <f>AND(#REF!,"AAAAACBp+Vc=")</f>
        <v>#REF!</v>
      </c>
      <c r="CK16" t="e">
        <f>AND(#REF!,"AAAAACBp+Vg=")</f>
        <v>#REF!</v>
      </c>
      <c r="CL16" t="e">
        <f>AND(#REF!,"AAAAACBp+Vk=")</f>
        <v>#REF!</v>
      </c>
      <c r="CM16" t="e">
        <f>AND(#REF!,"AAAAACBp+Vo=")</f>
        <v>#REF!</v>
      </c>
      <c r="CN16" t="e">
        <f>AND(#REF!,"AAAAACBp+Vs=")</f>
        <v>#REF!</v>
      </c>
      <c r="CO16" t="e">
        <f>IF(#REF!,"AAAAACBp+Vw=",0)</f>
        <v>#REF!</v>
      </c>
      <c r="CP16" t="e">
        <f>IF(#REF!,"AAAAACBp+V0=",0)</f>
        <v>#REF!</v>
      </c>
      <c r="CQ16" t="e">
        <f>IF(#REF!,"AAAAACBp+V4=",0)</f>
        <v>#REF!</v>
      </c>
      <c r="CR16" t="e">
        <f>IF(#REF!,"AAAAACBp+V8=",0)</f>
        <v>#REF!</v>
      </c>
      <c r="CS16" t="e">
        <f>IF(#REF!,"AAAAACBp+WA=",0)</f>
        <v>#REF!</v>
      </c>
      <c r="CT16" t="e">
        <f>IF(#REF!,"AAAAACBp+WE=",0)</f>
        <v>#REF!</v>
      </c>
      <c r="CU16" t="e">
        <f>IF(#REF!,"AAAAACBp+WI=",0)</f>
        <v>#REF!</v>
      </c>
      <c r="CV16" t="e">
        <f>IF(#REF!,"AAAAACBp+WM=",0)</f>
        <v>#REF!</v>
      </c>
      <c r="CW16" t="e">
        <f>IF(#REF!,"AAAAACBp+WQ=",0)</f>
        <v>#REF!</v>
      </c>
      <c r="CX16" t="e">
        <f>IF(#REF!,"AAAAACBp+WU=",0)</f>
        <v>#REF!</v>
      </c>
      <c r="CY16" t="e">
        <f>IF(#REF!,"AAAAACBp+WY=",0)</f>
        <v>#REF!</v>
      </c>
      <c r="CZ16" t="e">
        <f>IF(#REF!,"AAAAACBp+Wc=",0)</f>
        <v>#REF!</v>
      </c>
      <c r="DA16" t="e">
        <f>IF(#REF!,"AAAAACBp+Wg=",0)</f>
        <v>#REF!</v>
      </c>
      <c r="DB16" t="e">
        <f>AND(#REF!,"AAAAACBp+Wk=")</f>
        <v>#REF!</v>
      </c>
      <c r="DC16" t="e">
        <f>AND(#REF!,"AAAAACBp+Wo=")</f>
        <v>#REF!</v>
      </c>
      <c r="DD16" t="e">
        <f>AND(#REF!,"AAAAACBp+Ws=")</f>
        <v>#REF!</v>
      </c>
      <c r="DE16" t="e">
        <f>AND(#REF!,"AAAAACBp+Ww=")</f>
        <v>#REF!</v>
      </c>
      <c r="DF16" t="e">
        <f>AND(#REF!,"AAAAACBp+W0=")</f>
        <v>#REF!</v>
      </c>
      <c r="DG16" t="e">
        <f>AND(#REF!,"AAAAACBp+W4=")</f>
        <v>#REF!</v>
      </c>
      <c r="DH16" t="e">
        <f>AND(#REF!,"AAAAACBp+W8=")</f>
        <v>#REF!</v>
      </c>
      <c r="DI16" t="e">
        <f>AND(#REF!,"AAAAACBp+XA=")</f>
        <v>#REF!</v>
      </c>
      <c r="DJ16" t="e">
        <f>AND(#REF!,"AAAAACBp+XE=")</f>
        <v>#REF!</v>
      </c>
      <c r="DK16" t="e">
        <f>IF(#REF!,"AAAAACBp+XI=",0)</f>
        <v>#REF!</v>
      </c>
      <c r="DL16" t="e">
        <f>AND(#REF!,"AAAAACBp+XM=")</f>
        <v>#REF!</v>
      </c>
      <c r="DM16" t="e">
        <f>AND(#REF!,"AAAAACBp+XQ=")</f>
        <v>#REF!</v>
      </c>
      <c r="DN16" t="e">
        <f>AND(#REF!,"AAAAACBp+XU=")</f>
        <v>#REF!</v>
      </c>
      <c r="DO16" t="e">
        <f>AND(#REF!,"AAAAACBp+XY=")</f>
        <v>#REF!</v>
      </c>
      <c r="DP16" t="e">
        <f>AND(#REF!,"AAAAACBp+Xc=")</f>
        <v>#REF!</v>
      </c>
      <c r="DQ16" t="e">
        <f>AND(#REF!,"AAAAACBp+Xg=")</f>
        <v>#REF!</v>
      </c>
      <c r="DR16" t="e">
        <f>AND(#REF!,"AAAAACBp+Xk=")</f>
        <v>#REF!</v>
      </c>
      <c r="DS16" t="e">
        <f>AND(#REF!,"AAAAACBp+Xo=")</f>
        <v>#REF!</v>
      </c>
      <c r="DT16" t="e">
        <f>AND(#REF!,"AAAAACBp+Xs=")</f>
        <v>#REF!</v>
      </c>
      <c r="DU16" t="e">
        <f>IF(#REF!,"AAAAACBp+Xw=",0)</f>
        <v>#REF!</v>
      </c>
      <c r="DV16" t="e">
        <f>AND(#REF!,"AAAAACBp+X0=")</f>
        <v>#REF!</v>
      </c>
      <c r="DW16" t="e">
        <f>AND(#REF!,"AAAAACBp+X4=")</f>
        <v>#REF!</v>
      </c>
      <c r="DX16" t="e">
        <f>AND(#REF!,"AAAAACBp+X8=")</f>
        <v>#REF!</v>
      </c>
      <c r="DY16" t="e">
        <f>AND(#REF!,"AAAAACBp+YA=")</f>
        <v>#REF!</v>
      </c>
      <c r="DZ16" t="e">
        <f>AND(#REF!,"AAAAACBp+YE=")</f>
        <v>#REF!</v>
      </c>
      <c r="EA16" t="e">
        <f>AND(#REF!,"AAAAACBp+YI=")</f>
        <v>#REF!</v>
      </c>
      <c r="EB16" t="e">
        <f>AND(#REF!,"AAAAACBp+YM=")</f>
        <v>#REF!</v>
      </c>
      <c r="EC16" t="e">
        <f>AND(#REF!,"AAAAACBp+YQ=")</f>
        <v>#REF!</v>
      </c>
      <c r="ED16" t="e">
        <f>AND(#REF!,"AAAAACBp+YU=")</f>
        <v>#REF!</v>
      </c>
      <c r="EE16" t="e">
        <f>IF(#REF!,"AAAAACBp+YY=",0)</f>
        <v>#REF!</v>
      </c>
      <c r="EF16" t="e">
        <f>AND(#REF!,"AAAAACBp+Yc=")</f>
        <v>#REF!</v>
      </c>
      <c r="EG16" t="e">
        <f>AND(#REF!,"AAAAACBp+Yg=")</f>
        <v>#REF!</v>
      </c>
      <c r="EH16" t="e">
        <f>AND(#REF!,"AAAAACBp+Yk=")</f>
        <v>#REF!</v>
      </c>
      <c r="EI16" t="e">
        <f>AND(#REF!,"AAAAACBp+Yo=")</f>
        <v>#REF!</v>
      </c>
      <c r="EJ16" t="e">
        <f>AND(#REF!,"AAAAACBp+Ys=")</f>
        <v>#REF!</v>
      </c>
      <c r="EK16" t="e">
        <f>AND(#REF!,"AAAAACBp+Yw=")</f>
        <v>#REF!</v>
      </c>
      <c r="EL16" t="e">
        <f>AND(#REF!,"AAAAACBp+Y0=")</f>
        <v>#REF!</v>
      </c>
      <c r="EM16" t="e">
        <f>AND(#REF!,"AAAAACBp+Y4=")</f>
        <v>#REF!</v>
      </c>
      <c r="EN16" t="e">
        <f>AND(#REF!,"AAAAACBp+Y8=")</f>
        <v>#REF!</v>
      </c>
      <c r="EO16" t="e">
        <f>IF(#REF!,"AAAAACBp+ZA=",0)</f>
        <v>#REF!</v>
      </c>
      <c r="EP16" t="e">
        <f>AND(#REF!,"AAAAACBp+ZE=")</f>
        <v>#REF!</v>
      </c>
      <c r="EQ16" t="e">
        <f>AND(#REF!,"AAAAACBp+ZI=")</f>
        <v>#REF!</v>
      </c>
      <c r="ER16" t="e">
        <f>AND(#REF!,"AAAAACBp+ZM=")</f>
        <v>#REF!</v>
      </c>
      <c r="ES16" t="e">
        <f>AND(#REF!,"AAAAACBp+ZQ=")</f>
        <v>#REF!</v>
      </c>
      <c r="ET16" t="e">
        <f>AND(#REF!,"AAAAACBp+ZU=")</f>
        <v>#REF!</v>
      </c>
      <c r="EU16" t="e">
        <f>AND(#REF!,"AAAAACBp+ZY=")</f>
        <v>#REF!</v>
      </c>
      <c r="EV16" t="e">
        <f>AND(#REF!,"AAAAACBp+Zc=")</f>
        <v>#REF!</v>
      </c>
      <c r="EW16" t="e">
        <f>AND(#REF!,"AAAAACBp+Zg=")</f>
        <v>#REF!</v>
      </c>
      <c r="EX16" t="e">
        <f>AND(#REF!,"AAAAACBp+Zk=")</f>
        <v>#REF!</v>
      </c>
      <c r="EY16" t="e">
        <f>IF(#REF!,"AAAAACBp+Zo=",0)</f>
        <v>#REF!</v>
      </c>
      <c r="EZ16" t="e">
        <f>AND(#REF!,"AAAAACBp+Zs=")</f>
        <v>#REF!</v>
      </c>
      <c r="FA16" t="e">
        <f>AND(#REF!,"AAAAACBp+Zw=")</f>
        <v>#REF!</v>
      </c>
      <c r="FB16" t="e">
        <f>AND(#REF!,"AAAAACBp+Z0=")</f>
        <v>#REF!</v>
      </c>
      <c r="FC16" t="e">
        <f>AND(#REF!,"AAAAACBp+Z4=")</f>
        <v>#REF!</v>
      </c>
      <c r="FD16" t="e">
        <f>AND(#REF!,"AAAAACBp+Z8=")</f>
        <v>#REF!</v>
      </c>
      <c r="FE16" t="e">
        <f>AND(#REF!,"AAAAACBp+aA=")</f>
        <v>#REF!</v>
      </c>
      <c r="FF16" t="e">
        <f>AND(#REF!,"AAAAACBp+aE=")</f>
        <v>#REF!</v>
      </c>
      <c r="FG16" t="e">
        <f>AND(#REF!,"AAAAACBp+aI=")</f>
        <v>#REF!</v>
      </c>
      <c r="FH16" t="e">
        <f>AND(#REF!,"AAAAACBp+aM=")</f>
        <v>#REF!</v>
      </c>
      <c r="FI16" t="e">
        <f>IF(#REF!,"AAAAACBp+aQ=",0)</f>
        <v>#REF!</v>
      </c>
      <c r="FJ16" t="e">
        <f>AND(#REF!,"AAAAACBp+aU=")</f>
        <v>#REF!</v>
      </c>
      <c r="FK16" t="e">
        <f>AND(#REF!,"AAAAACBp+aY=")</f>
        <v>#REF!</v>
      </c>
      <c r="FL16" t="e">
        <f>AND(#REF!,"AAAAACBp+ac=")</f>
        <v>#REF!</v>
      </c>
      <c r="FM16" t="e">
        <f>AND(#REF!,"AAAAACBp+ag=")</f>
        <v>#REF!</v>
      </c>
      <c r="FN16" t="e">
        <f>AND(#REF!,"AAAAACBp+ak=")</f>
        <v>#REF!</v>
      </c>
      <c r="FO16" t="e">
        <f>AND(#REF!,"AAAAACBp+ao=")</f>
        <v>#REF!</v>
      </c>
      <c r="FP16" t="e">
        <f>AND(#REF!,"AAAAACBp+as=")</f>
        <v>#REF!</v>
      </c>
      <c r="FQ16" t="e">
        <f>AND(#REF!,"AAAAACBp+aw=")</f>
        <v>#REF!</v>
      </c>
      <c r="FR16" t="e">
        <f>AND(#REF!,"AAAAACBp+a0=")</f>
        <v>#REF!</v>
      </c>
      <c r="FS16" t="e">
        <f>IF(#REF!,"AAAAACBp+a4=",0)</f>
        <v>#REF!</v>
      </c>
      <c r="FT16" t="e">
        <f>AND(#REF!,"AAAAACBp+a8=")</f>
        <v>#REF!</v>
      </c>
      <c r="FU16" t="e">
        <f>AND(#REF!,"AAAAACBp+bA=")</f>
        <v>#REF!</v>
      </c>
      <c r="FV16" t="e">
        <f>AND(#REF!,"AAAAACBp+bE=")</f>
        <v>#REF!</v>
      </c>
      <c r="FW16" t="e">
        <f>AND(#REF!,"AAAAACBp+bI=")</f>
        <v>#REF!</v>
      </c>
      <c r="FX16" t="e">
        <f>AND(#REF!,"AAAAACBp+bM=")</f>
        <v>#REF!</v>
      </c>
      <c r="FY16" t="e">
        <f>AND(#REF!,"AAAAACBp+bQ=")</f>
        <v>#REF!</v>
      </c>
      <c r="FZ16" t="e">
        <f>AND(#REF!,"AAAAACBp+bU=")</f>
        <v>#REF!</v>
      </c>
      <c r="GA16" t="e">
        <f>AND(#REF!,"AAAAACBp+bY=")</f>
        <v>#REF!</v>
      </c>
      <c r="GB16" t="e">
        <f>AND(#REF!,"AAAAACBp+bc=")</f>
        <v>#REF!</v>
      </c>
      <c r="GC16" t="e">
        <f>IF(#REF!,"AAAAACBp+bg=",0)</f>
        <v>#REF!</v>
      </c>
      <c r="GD16" t="e">
        <f>AND(#REF!,"AAAAACBp+bk=")</f>
        <v>#REF!</v>
      </c>
      <c r="GE16" t="e">
        <f>AND(#REF!,"AAAAACBp+bo=")</f>
        <v>#REF!</v>
      </c>
      <c r="GF16" t="e">
        <f>AND(#REF!,"AAAAACBp+bs=")</f>
        <v>#REF!</v>
      </c>
      <c r="GG16" t="e">
        <f>AND(#REF!,"AAAAACBp+bw=")</f>
        <v>#REF!</v>
      </c>
      <c r="GH16" t="e">
        <f>AND(#REF!,"AAAAACBp+b0=")</f>
        <v>#REF!</v>
      </c>
      <c r="GI16" t="e">
        <f>AND(#REF!,"AAAAACBp+b4=")</f>
        <v>#REF!</v>
      </c>
      <c r="GJ16" t="e">
        <f>AND(#REF!,"AAAAACBp+b8=")</f>
        <v>#REF!</v>
      </c>
      <c r="GK16" t="e">
        <f>AND(#REF!,"AAAAACBp+cA=")</f>
        <v>#REF!</v>
      </c>
      <c r="GL16" t="e">
        <f>AND(#REF!,"AAAAACBp+cE=")</f>
        <v>#REF!</v>
      </c>
      <c r="GM16" t="e">
        <f>IF(#REF!,"AAAAACBp+cI=",0)</f>
        <v>#REF!</v>
      </c>
      <c r="GN16" t="e">
        <f>AND(#REF!,"AAAAACBp+cM=")</f>
        <v>#REF!</v>
      </c>
      <c r="GO16" t="e">
        <f>AND(#REF!,"AAAAACBp+cQ=")</f>
        <v>#REF!</v>
      </c>
      <c r="GP16" t="e">
        <f>AND(#REF!,"AAAAACBp+cU=")</f>
        <v>#REF!</v>
      </c>
      <c r="GQ16" t="e">
        <f>AND(#REF!,"AAAAACBp+cY=")</f>
        <v>#REF!</v>
      </c>
      <c r="GR16" t="e">
        <f>AND(#REF!,"AAAAACBp+cc=")</f>
        <v>#REF!</v>
      </c>
      <c r="GS16" t="e">
        <f>AND(#REF!,"AAAAACBp+cg=")</f>
        <v>#REF!</v>
      </c>
      <c r="GT16" t="e">
        <f>AND(#REF!,"AAAAACBp+ck=")</f>
        <v>#REF!</v>
      </c>
      <c r="GU16" t="e">
        <f>AND(#REF!,"AAAAACBp+co=")</f>
        <v>#REF!</v>
      </c>
      <c r="GV16" t="e">
        <f>AND(#REF!,"AAAAACBp+cs=")</f>
        <v>#REF!</v>
      </c>
      <c r="GW16" t="e">
        <f>IF(#REF!,"AAAAACBp+cw=",0)</f>
        <v>#REF!</v>
      </c>
      <c r="GX16" t="e">
        <f>AND(#REF!,"AAAAACBp+c0=")</f>
        <v>#REF!</v>
      </c>
      <c r="GY16" t="e">
        <f>AND(#REF!,"AAAAACBp+c4=")</f>
        <v>#REF!</v>
      </c>
      <c r="GZ16" t="e">
        <f>AND(#REF!,"AAAAACBp+c8=")</f>
        <v>#REF!</v>
      </c>
      <c r="HA16" t="e">
        <f>AND(#REF!,"AAAAACBp+dA=")</f>
        <v>#REF!</v>
      </c>
      <c r="HB16" t="e">
        <f>AND(#REF!,"AAAAACBp+dE=")</f>
        <v>#REF!</v>
      </c>
      <c r="HC16" t="e">
        <f>AND(#REF!,"AAAAACBp+dI=")</f>
        <v>#REF!</v>
      </c>
      <c r="HD16" t="e">
        <f>AND(#REF!,"AAAAACBp+dM=")</f>
        <v>#REF!</v>
      </c>
      <c r="HE16" t="e">
        <f>AND(#REF!,"AAAAACBp+dQ=")</f>
        <v>#REF!</v>
      </c>
      <c r="HF16" t="e">
        <f>AND(#REF!,"AAAAACBp+dU=")</f>
        <v>#REF!</v>
      </c>
      <c r="HG16" t="e">
        <f>IF(#REF!,"AAAAACBp+dY=",0)</f>
        <v>#REF!</v>
      </c>
      <c r="HH16" t="e">
        <f>AND(#REF!,"AAAAACBp+dc=")</f>
        <v>#REF!</v>
      </c>
      <c r="HI16" t="e">
        <f>AND(#REF!,"AAAAACBp+dg=")</f>
        <v>#REF!</v>
      </c>
      <c r="HJ16" t="e">
        <f>AND(#REF!,"AAAAACBp+dk=")</f>
        <v>#REF!</v>
      </c>
      <c r="HK16" t="e">
        <f>AND(#REF!,"AAAAACBp+do=")</f>
        <v>#REF!</v>
      </c>
      <c r="HL16" t="e">
        <f>AND(#REF!,"AAAAACBp+ds=")</f>
        <v>#REF!</v>
      </c>
      <c r="HM16" t="e">
        <f>AND(#REF!,"AAAAACBp+dw=")</f>
        <v>#REF!</v>
      </c>
      <c r="HN16" t="e">
        <f>IF(#REF!,"AAAAACBp+d0=",0)</f>
        <v>#REF!</v>
      </c>
      <c r="HO16" t="e">
        <f>AND(#REF!,"AAAAACBp+d4=")</f>
        <v>#REF!</v>
      </c>
      <c r="HP16" t="e">
        <f>AND(#REF!,"AAAAACBp+d8=")</f>
        <v>#REF!</v>
      </c>
      <c r="HQ16" t="e">
        <f>AND(#REF!,"AAAAACBp+eA=")</f>
        <v>#REF!</v>
      </c>
      <c r="HR16" t="e">
        <f>AND(#REF!,"AAAAACBp+eE=")</f>
        <v>#REF!</v>
      </c>
      <c r="HS16" t="e">
        <f>AND(#REF!,"AAAAACBp+eI=")</f>
        <v>#REF!</v>
      </c>
      <c r="HT16" t="e">
        <f>AND(#REF!,"AAAAACBp+eM=")</f>
        <v>#REF!</v>
      </c>
      <c r="HU16" t="e">
        <f>IF(#REF!,"AAAAACBp+eQ=",0)</f>
        <v>#REF!</v>
      </c>
      <c r="HV16" t="e">
        <f>AND(#REF!,"AAAAACBp+eU=")</f>
        <v>#REF!</v>
      </c>
      <c r="HW16" t="e">
        <f>AND(#REF!,"AAAAACBp+eY=")</f>
        <v>#REF!</v>
      </c>
      <c r="HX16" t="e">
        <f>AND(#REF!,"AAAAACBp+ec=")</f>
        <v>#REF!</v>
      </c>
      <c r="HY16" t="e">
        <f>AND(#REF!,"AAAAACBp+eg=")</f>
        <v>#REF!</v>
      </c>
      <c r="HZ16" t="e">
        <f>AND(#REF!,"AAAAACBp+ek=")</f>
        <v>#REF!</v>
      </c>
      <c r="IA16" t="e">
        <f>AND(#REF!,"AAAAACBp+eo=")</f>
        <v>#REF!</v>
      </c>
      <c r="IB16" t="e">
        <f>IF(#REF!,"AAAAACBp+es=",0)</f>
        <v>#REF!</v>
      </c>
      <c r="IC16" t="e">
        <f>AND(#REF!,"AAAAACBp+ew=")</f>
        <v>#REF!</v>
      </c>
      <c r="ID16" t="e">
        <f>AND(#REF!,"AAAAACBp+e0=")</f>
        <v>#REF!</v>
      </c>
      <c r="IE16" t="e">
        <f>AND(#REF!,"AAAAACBp+e4=")</f>
        <v>#REF!</v>
      </c>
      <c r="IF16" t="e">
        <f>AND(#REF!,"AAAAACBp+e8=")</f>
        <v>#REF!</v>
      </c>
      <c r="IG16" t="e">
        <f>AND(#REF!,"AAAAACBp+fA=")</f>
        <v>#REF!</v>
      </c>
      <c r="IH16" t="e">
        <f>AND(#REF!,"AAAAACBp+fE=")</f>
        <v>#REF!</v>
      </c>
      <c r="II16" t="e">
        <f>IF(#REF!,"AAAAACBp+fI=",0)</f>
        <v>#REF!</v>
      </c>
      <c r="IJ16" t="e">
        <f>AND(#REF!,"AAAAACBp+fM=")</f>
        <v>#REF!</v>
      </c>
      <c r="IK16" t="e">
        <f>AND(#REF!,"AAAAACBp+fQ=")</f>
        <v>#REF!</v>
      </c>
      <c r="IL16" t="e">
        <f>AND(#REF!,"AAAAACBp+fU=")</f>
        <v>#REF!</v>
      </c>
      <c r="IM16" t="e">
        <f>AND(#REF!,"AAAAACBp+fY=")</f>
        <v>#REF!</v>
      </c>
      <c r="IN16" t="e">
        <f>AND(#REF!,"AAAAACBp+fc=")</f>
        <v>#REF!</v>
      </c>
      <c r="IO16" t="e">
        <f>AND(#REF!,"AAAAACBp+fg=")</f>
        <v>#REF!</v>
      </c>
      <c r="IP16" t="e">
        <f>IF(#REF!,"AAAAACBp+fk=",0)</f>
        <v>#REF!</v>
      </c>
      <c r="IQ16" t="e">
        <f>AND(#REF!,"AAAAACBp+fo=")</f>
        <v>#REF!</v>
      </c>
      <c r="IR16" t="e">
        <f>AND(#REF!,"AAAAACBp+fs=")</f>
        <v>#REF!</v>
      </c>
      <c r="IS16" t="e">
        <f>AND(#REF!,"AAAAACBp+fw=")</f>
        <v>#REF!</v>
      </c>
      <c r="IT16" t="e">
        <f>AND(#REF!,"AAAAACBp+f0=")</f>
        <v>#REF!</v>
      </c>
      <c r="IU16" t="e">
        <f>AND(#REF!,"AAAAACBp+f4=")</f>
        <v>#REF!</v>
      </c>
      <c r="IV16" t="e">
        <f>AND(#REF!,"AAAAACBp+f8=")</f>
        <v>#REF!</v>
      </c>
    </row>
    <row r="17" spans="1:256">
      <c r="A17" t="e">
        <f>IF(#REF!,"AAAAAB7v9wA=",0)</f>
        <v>#REF!</v>
      </c>
      <c r="B17" t="e">
        <f>IF(#REF!,"AAAAAB7v9wE=",0)</f>
        <v>#REF!</v>
      </c>
      <c r="C17" t="e">
        <f>IF(#REF!,"AAAAAB7v9wI=",0)</f>
        <v>#REF!</v>
      </c>
      <c r="D17" t="e">
        <f>IF(#REF!,"AAAAAB7v9wM=",0)</f>
        <v>#REF!</v>
      </c>
      <c r="E17" t="e">
        <f>IF(#REF!,"AAAAAB7v9wQ=",0)</f>
        <v>#REF!</v>
      </c>
      <c r="F17" t="e">
        <f>IF(#REF!,"AAAAAB7v9wU=",0)</f>
        <v>#REF!</v>
      </c>
      <c r="G17" t="e">
        <f>IF(#REF!,"AAAAAB7v9wY=",0)</f>
        <v>#REF!</v>
      </c>
      <c r="H17" t="e">
        <f>IF(#REF!,"AAAAAB7v9wc=",0)</f>
        <v>#REF!</v>
      </c>
      <c r="I17" t="e">
        <f>IF(#REF!,"AAAAAB7v9wg=",0)</f>
        <v>#REF!</v>
      </c>
      <c r="J17" t="e">
        <f>IF(#REF!,"AAAAAB7v9wk=",0)</f>
        <v>#REF!</v>
      </c>
      <c r="K17" t="e">
        <f>AND(#REF!,"AAAAAB7v9wo=")</f>
        <v>#REF!</v>
      </c>
      <c r="L17" t="e">
        <f>AND(#REF!,"AAAAAB7v9ws=")</f>
        <v>#REF!</v>
      </c>
      <c r="M17" t="e">
        <f>AND(#REF!,"AAAAAB7v9ww=")</f>
        <v>#REF!</v>
      </c>
      <c r="N17" t="e">
        <f>AND(#REF!,"AAAAAB7v9w0=")</f>
        <v>#REF!</v>
      </c>
      <c r="O17" t="e">
        <f>AND(#REF!,"AAAAAB7v9w4=")</f>
        <v>#REF!</v>
      </c>
      <c r="P17" t="e">
        <f>AND(#REF!,"AAAAAB7v9w8=")</f>
        <v>#REF!</v>
      </c>
      <c r="Q17" t="e">
        <f>AND(#REF!,"AAAAAB7v9xA=")</f>
        <v>#REF!</v>
      </c>
      <c r="R17" t="e">
        <f>AND(#REF!,"AAAAAB7v9xE=")</f>
        <v>#REF!</v>
      </c>
      <c r="S17" t="e">
        <f>AND(#REF!,"AAAAAB7v9xI=")</f>
        <v>#REF!</v>
      </c>
      <c r="T17" t="e">
        <f>AND(#REF!,"AAAAAB7v9xM=")</f>
        <v>#REF!</v>
      </c>
      <c r="U17" t="e">
        <f>AND(#REF!,"AAAAAB7v9xQ=")</f>
        <v>#REF!</v>
      </c>
      <c r="V17" t="e">
        <f>AND(#REF!,"AAAAAB7v9xU=")</f>
        <v>#REF!</v>
      </c>
      <c r="W17" t="e">
        <f>IF(#REF!,"AAAAAB7v9xY=",0)</f>
        <v>#REF!</v>
      </c>
      <c r="X17" t="e">
        <f>AND(#REF!,"AAAAAB7v9xc=")</f>
        <v>#REF!</v>
      </c>
      <c r="Y17" t="e">
        <f>AND(#REF!,"AAAAAB7v9xg=")</f>
        <v>#REF!</v>
      </c>
      <c r="Z17" t="e">
        <f>AND(#REF!,"AAAAAB7v9xk=")</f>
        <v>#REF!</v>
      </c>
      <c r="AA17" t="e">
        <f>AND(#REF!,"AAAAAB7v9xo=")</f>
        <v>#REF!</v>
      </c>
      <c r="AB17" t="e">
        <f>AND(#REF!,"AAAAAB7v9xs=")</f>
        <v>#REF!</v>
      </c>
      <c r="AC17" t="e">
        <f>AND(#REF!,"AAAAAB7v9xw=")</f>
        <v>#REF!</v>
      </c>
      <c r="AD17" t="e">
        <f>AND(#REF!,"AAAAAB7v9x0=")</f>
        <v>#REF!</v>
      </c>
      <c r="AE17" t="e">
        <f>AND(#REF!,"AAAAAB7v9x4=")</f>
        <v>#REF!</v>
      </c>
      <c r="AF17" t="e">
        <f>AND(#REF!,"AAAAAB7v9x8=")</f>
        <v>#REF!</v>
      </c>
      <c r="AG17" t="e">
        <f>AND(#REF!,"AAAAAB7v9yA=")</f>
        <v>#REF!</v>
      </c>
      <c r="AH17" t="e">
        <f>AND(#REF!,"AAAAAB7v9yE=")</f>
        <v>#REF!</v>
      </c>
      <c r="AI17" t="e">
        <f>AND(#REF!,"AAAAAB7v9yI=")</f>
        <v>#REF!</v>
      </c>
      <c r="AJ17" t="e">
        <f>IF(#REF!,"AAAAAB7v9yM=",0)</f>
        <v>#REF!</v>
      </c>
      <c r="AK17" t="e">
        <f>AND(#REF!,"AAAAAB7v9yQ=")</f>
        <v>#REF!</v>
      </c>
      <c r="AL17" t="e">
        <f>AND(#REF!,"AAAAAB7v9yU=")</f>
        <v>#REF!</v>
      </c>
      <c r="AM17" t="e">
        <f>AND(#REF!,"AAAAAB7v9yY=")</f>
        <v>#REF!</v>
      </c>
      <c r="AN17" t="e">
        <f>AND(#REF!,"AAAAAB7v9yc=")</f>
        <v>#REF!</v>
      </c>
      <c r="AO17" t="e">
        <f>AND(#REF!,"AAAAAB7v9yg=")</f>
        <v>#REF!</v>
      </c>
      <c r="AP17" t="e">
        <f>AND(#REF!,"AAAAAB7v9yk=")</f>
        <v>#REF!</v>
      </c>
      <c r="AQ17" t="e">
        <f>AND(#REF!,"AAAAAB7v9yo=")</f>
        <v>#REF!</v>
      </c>
      <c r="AR17" t="e">
        <f>AND(#REF!,"AAAAAB7v9ys=")</f>
        <v>#REF!</v>
      </c>
      <c r="AS17" t="e">
        <f>AND(#REF!,"AAAAAB7v9yw=")</f>
        <v>#REF!</v>
      </c>
      <c r="AT17" t="e">
        <f>AND(#REF!,"AAAAAB7v9y0=")</f>
        <v>#REF!</v>
      </c>
      <c r="AU17" t="e">
        <f>AND(#REF!,"AAAAAB7v9y4=")</f>
        <v>#REF!</v>
      </c>
      <c r="AV17" t="e">
        <f>AND(#REF!,"AAAAAB7v9y8=")</f>
        <v>#REF!</v>
      </c>
      <c r="AW17" t="e">
        <f>IF(#REF!,"AAAAAB7v9zA=",0)</f>
        <v>#REF!</v>
      </c>
      <c r="AX17" t="e">
        <f>AND(#REF!,"AAAAAB7v9zE=")</f>
        <v>#REF!</v>
      </c>
      <c r="AY17" t="e">
        <f>AND(#REF!,"AAAAAB7v9zI=")</f>
        <v>#REF!</v>
      </c>
      <c r="AZ17" t="e">
        <f>AND(#REF!,"AAAAAB7v9zM=")</f>
        <v>#REF!</v>
      </c>
      <c r="BA17" t="e">
        <f>AND(#REF!,"AAAAAB7v9zQ=")</f>
        <v>#REF!</v>
      </c>
      <c r="BB17" t="e">
        <f>AND(#REF!,"AAAAAB7v9zU=")</f>
        <v>#REF!</v>
      </c>
      <c r="BC17" t="e">
        <f>AND(#REF!,"AAAAAB7v9zY=")</f>
        <v>#REF!</v>
      </c>
      <c r="BD17" t="e">
        <f>AND(#REF!,"AAAAAB7v9zc=")</f>
        <v>#REF!</v>
      </c>
      <c r="BE17" t="e">
        <f>AND(#REF!,"AAAAAB7v9zg=")</f>
        <v>#REF!</v>
      </c>
      <c r="BF17" t="e">
        <f>AND(#REF!,"AAAAAB7v9zk=")</f>
        <v>#REF!</v>
      </c>
      <c r="BG17" t="e">
        <f>AND(#REF!,"AAAAAB7v9zo=")</f>
        <v>#REF!</v>
      </c>
      <c r="BH17" t="e">
        <f>AND(#REF!,"AAAAAB7v9zs=")</f>
        <v>#REF!</v>
      </c>
      <c r="BI17" t="e">
        <f>AND(#REF!,"AAAAAB7v9zw=")</f>
        <v>#REF!</v>
      </c>
      <c r="BJ17" t="e">
        <f>IF(#REF!,"AAAAAB7v9z0=",0)</f>
        <v>#REF!</v>
      </c>
      <c r="BK17" t="e">
        <f>AND(#REF!,"AAAAAB7v9z4=")</f>
        <v>#REF!</v>
      </c>
      <c r="BL17" t="e">
        <f>AND(#REF!,"AAAAAB7v9z8=")</f>
        <v>#REF!</v>
      </c>
      <c r="BM17" t="e">
        <f>AND(#REF!,"AAAAAB7v90A=")</f>
        <v>#REF!</v>
      </c>
      <c r="BN17" t="e">
        <f>AND(#REF!,"AAAAAB7v90E=")</f>
        <v>#REF!</v>
      </c>
      <c r="BO17" t="e">
        <f>AND(#REF!,"AAAAAB7v90I=")</f>
        <v>#REF!</v>
      </c>
      <c r="BP17" t="e">
        <f>AND(#REF!,"AAAAAB7v90M=")</f>
        <v>#REF!</v>
      </c>
      <c r="BQ17" t="e">
        <f>AND(#REF!,"AAAAAB7v90Q=")</f>
        <v>#REF!</v>
      </c>
      <c r="BR17" t="e">
        <f>AND(#REF!,"AAAAAB7v90U=")</f>
        <v>#REF!</v>
      </c>
      <c r="BS17" t="e">
        <f>AND(#REF!,"AAAAAB7v90Y=")</f>
        <v>#REF!</v>
      </c>
      <c r="BT17" t="e">
        <f>AND(#REF!,"AAAAAB7v90c=")</f>
        <v>#REF!</v>
      </c>
      <c r="BU17" t="e">
        <f>AND(#REF!,"AAAAAB7v90g=")</f>
        <v>#REF!</v>
      </c>
      <c r="BV17" t="e">
        <f>AND(#REF!,"AAAAAB7v90k=")</f>
        <v>#REF!</v>
      </c>
      <c r="BW17" t="e">
        <f>IF(#REF!,"AAAAAB7v90o=",0)</f>
        <v>#REF!</v>
      </c>
      <c r="BX17" t="e">
        <f>AND(#REF!,"AAAAAB7v90s=")</f>
        <v>#REF!</v>
      </c>
      <c r="BY17" t="e">
        <f>AND(#REF!,"AAAAAB7v90w=")</f>
        <v>#REF!</v>
      </c>
      <c r="BZ17" t="e">
        <f>AND(#REF!,"AAAAAB7v900=")</f>
        <v>#REF!</v>
      </c>
      <c r="CA17" t="e">
        <f>AND(#REF!,"AAAAAB7v904=")</f>
        <v>#REF!</v>
      </c>
      <c r="CB17" t="e">
        <f>AND(#REF!,"AAAAAB7v908=")</f>
        <v>#REF!</v>
      </c>
      <c r="CC17" t="e">
        <f>AND(#REF!,"AAAAAB7v91A=")</f>
        <v>#REF!</v>
      </c>
      <c r="CD17" t="e">
        <f>AND(#REF!,"AAAAAB7v91E=")</f>
        <v>#REF!</v>
      </c>
      <c r="CE17" t="e">
        <f>AND(#REF!,"AAAAAB7v91I=")</f>
        <v>#REF!</v>
      </c>
      <c r="CF17" t="e">
        <f>AND(#REF!,"AAAAAB7v91M=")</f>
        <v>#REF!</v>
      </c>
      <c r="CG17" t="e">
        <f>AND(#REF!,"AAAAAB7v91Q=")</f>
        <v>#REF!</v>
      </c>
      <c r="CH17" t="e">
        <f>AND(#REF!,"AAAAAB7v91U=")</f>
        <v>#REF!</v>
      </c>
      <c r="CI17" t="e">
        <f>AND(#REF!,"AAAAAB7v91Y=")</f>
        <v>#REF!</v>
      </c>
      <c r="CJ17" t="e">
        <f>IF(#REF!,"AAAAAB7v91c=",0)</f>
        <v>#REF!</v>
      </c>
      <c r="CK17" t="e">
        <f>AND(#REF!,"AAAAAB7v91g=")</f>
        <v>#REF!</v>
      </c>
      <c r="CL17" t="e">
        <f>AND(#REF!,"AAAAAB7v91k=")</f>
        <v>#REF!</v>
      </c>
      <c r="CM17" t="e">
        <f>AND(#REF!,"AAAAAB7v91o=")</f>
        <v>#REF!</v>
      </c>
      <c r="CN17" t="e">
        <f>AND(#REF!,"AAAAAB7v91s=")</f>
        <v>#REF!</v>
      </c>
      <c r="CO17" t="e">
        <f>AND(#REF!,"AAAAAB7v91w=")</f>
        <v>#REF!</v>
      </c>
      <c r="CP17" t="e">
        <f>AND(#REF!,"AAAAAB7v910=")</f>
        <v>#REF!</v>
      </c>
      <c r="CQ17" t="e">
        <f>AND(#REF!,"AAAAAB7v914=")</f>
        <v>#REF!</v>
      </c>
      <c r="CR17" t="e">
        <f>AND(#REF!,"AAAAAB7v918=")</f>
        <v>#REF!</v>
      </c>
      <c r="CS17" t="e">
        <f>AND(#REF!,"AAAAAB7v92A=")</f>
        <v>#REF!</v>
      </c>
      <c r="CT17" t="e">
        <f>AND(#REF!,"AAAAAB7v92E=")</f>
        <v>#REF!</v>
      </c>
      <c r="CU17" t="e">
        <f>AND(#REF!,"AAAAAB7v92I=")</f>
        <v>#REF!</v>
      </c>
      <c r="CV17" t="e">
        <f>AND(#REF!,"AAAAAB7v92M=")</f>
        <v>#REF!</v>
      </c>
      <c r="CW17" t="e">
        <f>IF(#REF!,"AAAAAB7v92Q=",0)</f>
        <v>#REF!</v>
      </c>
      <c r="CX17" t="e">
        <f>AND(#REF!,"AAAAAB7v92U=")</f>
        <v>#REF!</v>
      </c>
      <c r="CY17" t="e">
        <f>AND(#REF!,"AAAAAB7v92Y=")</f>
        <v>#REF!</v>
      </c>
      <c r="CZ17" t="e">
        <f>AND(#REF!,"AAAAAB7v92c=")</f>
        <v>#REF!</v>
      </c>
      <c r="DA17" t="e">
        <f>AND(#REF!,"AAAAAB7v92g=")</f>
        <v>#REF!</v>
      </c>
      <c r="DB17" t="e">
        <f>AND(#REF!,"AAAAAB7v92k=")</f>
        <v>#REF!</v>
      </c>
      <c r="DC17" t="e">
        <f>AND(#REF!,"AAAAAB7v92o=")</f>
        <v>#REF!</v>
      </c>
      <c r="DD17" t="e">
        <f>AND(#REF!,"AAAAAB7v92s=")</f>
        <v>#REF!</v>
      </c>
      <c r="DE17" t="e">
        <f>AND(#REF!,"AAAAAB7v92w=")</f>
        <v>#REF!</v>
      </c>
      <c r="DF17" t="e">
        <f>AND(#REF!,"AAAAAB7v920=")</f>
        <v>#REF!</v>
      </c>
      <c r="DG17" t="e">
        <f>AND(#REF!,"AAAAAB7v924=")</f>
        <v>#REF!</v>
      </c>
      <c r="DH17" t="e">
        <f>AND(#REF!,"AAAAAB7v928=")</f>
        <v>#REF!</v>
      </c>
      <c r="DI17" t="e">
        <f>AND(#REF!,"AAAAAB7v93A=")</f>
        <v>#REF!</v>
      </c>
      <c r="DJ17" t="e">
        <f>IF(#REF!,"AAAAAB7v93E=",0)</f>
        <v>#REF!</v>
      </c>
      <c r="DK17" t="e">
        <f>AND(#REF!,"AAAAAB7v93I=")</f>
        <v>#REF!</v>
      </c>
      <c r="DL17" t="e">
        <f>AND(#REF!,"AAAAAB7v93M=")</f>
        <v>#REF!</v>
      </c>
      <c r="DM17" t="e">
        <f>AND(#REF!,"AAAAAB7v93Q=")</f>
        <v>#REF!</v>
      </c>
      <c r="DN17" t="e">
        <f>AND(#REF!,"AAAAAB7v93U=")</f>
        <v>#REF!</v>
      </c>
      <c r="DO17" t="e">
        <f>AND(#REF!,"AAAAAB7v93Y=")</f>
        <v>#REF!</v>
      </c>
      <c r="DP17" t="e">
        <f>AND(#REF!,"AAAAAB7v93c=")</f>
        <v>#REF!</v>
      </c>
      <c r="DQ17" t="e">
        <f>AND(#REF!,"AAAAAB7v93g=")</f>
        <v>#REF!</v>
      </c>
      <c r="DR17" t="e">
        <f>AND(#REF!,"AAAAAB7v93k=")</f>
        <v>#REF!</v>
      </c>
      <c r="DS17" t="e">
        <f>AND(#REF!,"AAAAAB7v93o=")</f>
        <v>#REF!</v>
      </c>
      <c r="DT17" t="e">
        <f>AND(#REF!,"AAAAAB7v93s=")</f>
        <v>#REF!</v>
      </c>
      <c r="DU17" t="e">
        <f>AND(#REF!,"AAAAAB7v93w=")</f>
        <v>#REF!</v>
      </c>
      <c r="DV17" t="e">
        <f>AND(#REF!,"AAAAAB7v930=")</f>
        <v>#REF!</v>
      </c>
      <c r="DW17" t="e">
        <f>IF(#REF!,"AAAAAB7v934=",0)</f>
        <v>#REF!</v>
      </c>
      <c r="DX17" t="e">
        <f>AND(#REF!,"AAAAAB7v938=")</f>
        <v>#REF!</v>
      </c>
      <c r="DY17" t="e">
        <f>AND(#REF!,"AAAAAB7v94A=")</f>
        <v>#REF!</v>
      </c>
      <c r="DZ17" t="e">
        <f>AND(#REF!,"AAAAAB7v94E=")</f>
        <v>#REF!</v>
      </c>
      <c r="EA17" t="e">
        <f>AND(#REF!,"AAAAAB7v94I=")</f>
        <v>#REF!</v>
      </c>
      <c r="EB17" t="e">
        <f>AND(#REF!,"AAAAAB7v94M=")</f>
        <v>#REF!</v>
      </c>
      <c r="EC17" t="e">
        <f>AND(#REF!,"AAAAAB7v94Q=")</f>
        <v>#REF!</v>
      </c>
      <c r="ED17" t="e">
        <f>AND(#REF!,"AAAAAB7v94U=")</f>
        <v>#REF!</v>
      </c>
      <c r="EE17" t="e">
        <f>AND(#REF!,"AAAAAB7v94Y=")</f>
        <v>#REF!</v>
      </c>
      <c r="EF17" t="e">
        <f>AND(#REF!,"AAAAAB7v94c=")</f>
        <v>#REF!</v>
      </c>
      <c r="EG17" t="e">
        <f>AND(#REF!,"AAAAAB7v94g=")</f>
        <v>#REF!</v>
      </c>
      <c r="EH17" t="e">
        <f>AND(#REF!,"AAAAAB7v94k=")</f>
        <v>#REF!</v>
      </c>
      <c r="EI17" t="e">
        <f>AND(#REF!,"AAAAAB7v94o=")</f>
        <v>#REF!</v>
      </c>
      <c r="EJ17" t="e">
        <f>IF(#REF!,"AAAAAB7v94s=",0)</f>
        <v>#REF!</v>
      </c>
      <c r="EK17" t="e">
        <f>AND(#REF!,"AAAAAB7v94w=")</f>
        <v>#REF!</v>
      </c>
      <c r="EL17" t="e">
        <f>AND(#REF!,"AAAAAB7v940=")</f>
        <v>#REF!</v>
      </c>
      <c r="EM17" t="e">
        <f>AND(#REF!,"AAAAAB7v944=")</f>
        <v>#REF!</v>
      </c>
      <c r="EN17" t="e">
        <f>AND(#REF!,"AAAAAB7v948=")</f>
        <v>#REF!</v>
      </c>
      <c r="EO17" t="e">
        <f>AND(#REF!,"AAAAAB7v95A=")</f>
        <v>#REF!</v>
      </c>
      <c r="EP17" t="e">
        <f>AND(#REF!,"AAAAAB7v95E=")</f>
        <v>#REF!</v>
      </c>
      <c r="EQ17" t="e">
        <f>AND(#REF!,"AAAAAB7v95I=")</f>
        <v>#REF!</v>
      </c>
      <c r="ER17" t="e">
        <f>AND(#REF!,"AAAAAB7v95M=")</f>
        <v>#REF!</v>
      </c>
      <c r="ES17" t="e">
        <f>AND(#REF!,"AAAAAB7v95Q=")</f>
        <v>#REF!</v>
      </c>
      <c r="ET17" t="e">
        <f>AND(#REF!,"AAAAAB7v95U=")</f>
        <v>#REF!</v>
      </c>
      <c r="EU17" t="e">
        <f>AND(#REF!,"AAAAAB7v95Y=")</f>
        <v>#REF!</v>
      </c>
      <c r="EV17" t="e">
        <f>AND(#REF!,"AAAAAB7v95c=")</f>
        <v>#REF!</v>
      </c>
      <c r="EW17" t="e">
        <f>IF(#REF!,"AAAAAB7v95g=",0)</f>
        <v>#REF!</v>
      </c>
      <c r="EX17" t="e">
        <f>AND(#REF!,"AAAAAB7v95k=")</f>
        <v>#REF!</v>
      </c>
      <c r="EY17" t="e">
        <f>AND(#REF!,"AAAAAB7v95o=")</f>
        <v>#REF!</v>
      </c>
      <c r="EZ17" t="e">
        <f>AND(#REF!,"AAAAAB7v95s=")</f>
        <v>#REF!</v>
      </c>
      <c r="FA17" t="e">
        <f>AND(#REF!,"AAAAAB7v95w=")</f>
        <v>#REF!</v>
      </c>
      <c r="FB17" t="e">
        <f>AND(#REF!,"AAAAAB7v950=")</f>
        <v>#REF!</v>
      </c>
      <c r="FC17" t="e">
        <f>AND(#REF!,"AAAAAB7v954=")</f>
        <v>#REF!</v>
      </c>
      <c r="FD17" t="e">
        <f>AND(#REF!,"AAAAAB7v958=")</f>
        <v>#REF!</v>
      </c>
      <c r="FE17" t="e">
        <f>AND(#REF!,"AAAAAB7v96A=")</f>
        <v>#REF!</v>
      </c>
      <c r="FF17" t="e">
        <f>AND(#REF!,"AAAAAB7v96E=")</f>
        <v>#REF!</v>
      </c>
      <c r="FG17" t="e">
        <f>AND(#REF!,"AAAAAB7v96I=")</f>
        <v>#REF!</v>
      </c>
      <c r="FH17" t="e">
        <f>AND(#REF!,"AAAAAB7v96M=")</f>
        <v>#REF!</v>
      </c>
      <c r="FI17" t="e">
        <f>AND(#REF!,"AAAAAB7v96Q=")</f>
        <v>#REF!</v>
      </c>
      <c r="FJ17" t="e">
        <f>IF(#REF!,"AAAAAB7v96U=",0)</f>
        <v>#REF!</v>
      </c>
      <c r="FK17" t="e">
        <f>AND(#REF!,"AAAAAB7v96Y=")</f>
        <v>#REF!</v>
      </c>
      <c r="FL17" t="e">
        <f>AND(#REF!,"AAAAAB7v96c=")</f>
        <v>#REF!</v>
      </c>
      <c r="FM17" t="e">
        <f>AND(#REF!,"AAAAAB7v96g=")</f>
        <v>#REF!</v>
      </c>
      <c r="FN17" t="e">
        <f>AND(#REF!,"AAAAAB7v96k=")</f>
        <v>#REF!</v>
      </c>
      <c r="FO17" t="e">
        <f>AND(#REF!,"AAAAAB7v96o=")</f>
        <v>#REF!</v>
      </c>
      <c r="FP17" t="e">
        <f>AND(#REF!,"AAAAAB7v96s=")</f>
        <v>#REF!</v>
      </c>
      <c r="FQ17" t="e">
        <f>AND(#REF!,"AAAAAB7v96w=")</f>
        <v>#REF!</v>
      </c>
      <c r="FR17" t="e">
        <f>AND(#REF!,"AAAAAB7v960=")</f>
        <v>#REF!</v>
      </c>
      <c r="FS17" t="e">
        <f>AND(#REF!,"AAAAAB7v964=")</f>
        <v>#REF!</v>
      </c>
      <c r="FT17" t="e">
        <f>AND(#REF!,"AAAAAB7v968=")</f>
        <v>#REF!</v>
      </c>
      <c r="FU17" t="e">
        <f>AND(#REF!,"AAAAAB7v97A=")</f>
        <v>#REF!</v>
      </c>
      <c r="FV17" t="e">
        <f>AND(#REF!,"AAAAAB7v97E=")</f>
        <v>#REF!</v>
      </c>
      <c r="FW17" t="e">
        <f>IF(#REF!,"AAAAAB7v97I=",0)</f>
        <v>#REF!</v>
      </c>
      <c r="FX17" t="e">
        <f>AND(#REF!,"AAAAAB7v97M=")</f>
        <v>#REF!</v>
      </c>
      <c r="FY17" t="e">
        <f>AND(#REF!,"AAAAAB7v97Q=")</f>
        <v>#REF!</v>
      </c>
      <c r="FZ17" t="e">
        <f>AND(#REF!,"AAAAAB7v97U=")</f>
        <v>#REF!</v>
      </c>
      <c r="GA17" t="e">
        <f>AND(#REF!,"AAAAAB7v97Y=")</f>
        <v>#REF!</v>
      </c>
      <c r="GB17" t="e">
        <f>AND(#REF!,"AAAAAB7v97c=")</f>
        <v>#REF!</v>
      </c>
      <c r="GC17" t="e">
        <f>AND(#REF!,"AAAAAB7v97g=")</f>
        <v>#REF!</v>
      </c>
      <c r="GD17" t="e">
        <f>AND(#REF!,"AAAAAB7v97k=")</f>
        <v>#REF!</v>
      </c>
      <c r="GE17" t="e">
        <f>AND(#REF!,"AAAAAB7v97o=")</f>
        <v>#REF!</v>
      </c>
      <c r="GF17" t="e">
        <f>AND(#REF!,"AAAAAB7v97s=")</f>
        <v>#REF!</v>
      </c>
      <c r="GG17" t="e">
        <f>AND(#REF!,"AAAAAB7v97w=")</f>
        <v>#REF!</v>
      </c>
      <c r="GH17" t="e">
        <f>AND(#REF!,"AAAAAB7v970=")</f>
        <v>#REF!</v>
      </c>
      <c r="GI17" t="e">
        <f>AND(#REF!,"AAAAAB7v974=")</f>
        <v>#REF!</v>
      </c>
      <c r="GJ17" t="e">
        <f>IF(#REF!,"AAAAAB7v978=",0)</f>
        <v>#REF!</v>
      </c>
      <c r="GK17" t="e">
        <f>AND(#REF!,"AAAAAB7v98A=")</f>
        <v>#REF!</v>
      </c>
      <c r="GL17" t="e">
        <f>AND(#REF!,"AAAAAB7v98E=")</f>
        <v>#REF!</v>
      </c>
      <c r="GM17" t="e">
        <f>AND(#REF!,"AAAAAB7v98I=")</f>
        <v>#REF!</v>
      </c>
      <c r="GN17" t="e">
        <f>AND(#REF!,"AAAAAB7v98M=")</f>
        <v>#REF!</v>
      </c>
      <c r="GO17" t="e">
        <f>AND(#REF!,"AAAAAB7v98Q=")</f>
        <v>#REF!</v>
      </c>
      <c r="GP17" t="e">
        <f>AND(#REF!,"AAAAAB7v98U=")</f>
        <v>#REF!</v>
      </c>
      <c r="GQ17" t="e">
        <f>AND(#REF!,"AAAAAB7v98Y=")</f>
        <v>#REF!</v>
      </c>
      <c r="GR17" t="e">
        <f>AND(#REF!,"AAAAAB7v98c=")</f>
        <v>#REF!</v>
      </c>
      <c r="GS17" t="e">
        <f>AND(#REF!,"AAAAAB7v98g=")</f>
        <v>#REF!</v>
      </c>
      <c r="GT17" t="e">
        <f>AND(#REF!,"AAAAAB7v98k=")</f>
        <v>#REF!</v>
      </c>
      <c r="GU17" t="e">
        <f>AND(#REF!,"AAAAAB7v98o=")</f>
        <v>#REF!</v>
      </c>
      <c r="GV17" t="e">
        <f>AND(#REF!,"AAAAAB7v98s=")</f>
        <v>#REF!</v>
      </c>
      <c r="GW17" t="e">
        <f>IF(#REF!,"AAAAAB7v98w=",0)</f>
        <v>#REF!</v>
      </c>
      <c r="GX17" t="e">
        <f>AND(#REF!,"AAAAAB7v980=")</f>
        <v>#REF!</v>
      </c>
      <c r="GY17" t="e">
        <f>AND(#REF!,"AAAAAB7v984=")</f>
        <v>#REF!</v>
      </c>
      <c r="GZ17" t="e">
        <f>AND(#REF!,"AAAAAB7v988=")</f>
        <v>#REF!</v>
      </c>
      <c r="HA17" t="e">
        <f>AND(#REF!,"AAAAAB7v99A=")</f>
        <v>#REF!</v>
      </c>
      <c r="HB17" t="e">
        <f>AND(#REF!,"AAAAAB7v99E=")</f>
        <v>#REF!</v>
      </c>
      <c r="HC17" t="e">
        <f>AND(#REF!,"AAAAAB7v99I=")</f>
        <v>#REF!</v>
      </c>
      <c r="HD17" t="e">
        <f>AND(#REF!,"AAAAAB7v99M=")</f>
        <v>#REF!</v>
      </c>
      <c r="HE17" t="e">
        <f>AND(#REF!,"AAAAAB7v99Q=")</f>
        <v>#REF!</v>
      </c>
      <c r="HF17" t="e">
        <f>AND(#REF!,"AAAAAB7v99U=")</f>
        <v>#REF!</v>
      </c>
      <c r="HG17" t="e">
        <f>AND(#REF!,"AAAAAB7v99Y=")</f>
        <v>#REF!</v>
      </c>
      <c r="HH17" t="e">
        <f>AND(#REF!,"AAAAAB7v99c=")</f>
        <v>#REF!</v>
      </c>
      <c r="HI17" t="e">
        <f>AND(#REF!,"AAAAAB7v99g=")</f>
        <v>#REF!</v>
      </c>
      <c r="HJ17" t="e">
        <f>IF(#REF!,"AAAAAB7v99k=",0)</f>
        <v>#REF!</v>
      </c>
      <c r="HK17" t="e">
        <f>AND(#REF!,"AAAAAB7v99o=")</f>
        <v>#REF!</v>
      </c>
      <c r="HL17" t="e">
        <f>AND(#REF!,"AAAAAB7v99s=")</f>
        <v>#REF!</v>
      </c>
      <c r="HM17" t="e">
        <f>AND(#REF!,"AAAAAB7v99w=")</f>
        <v>#REF!</v>
      </c>
      <c r="HN17" t="e">
        <f>AND(#REF!,"AAAAAB7v990=")</f>
        <v>#REF!</v>
      </c>
      <c r="HO17" t="e">
        <f>AND(#REF!,"AAAAAB7v994=")</f>
        <v>#REF!</v>
      </c>
      <c r="HP17" t="e">
        <f>AND(#REF!,"AAAAAB7v998=")</f>
        <v>#REF!</v>
      </c>
      <c r="HQ17" t="e">
        <f>AND(#REF!,"AAAAAB7v9+A=")</f>
        <v>#REF!</v>
      </c>
      <c r="HR17" t="e">
        <f>AND(#REF!,"AAAAAB7v9+E=")</f>
        <v>#REF!</v>
      </c>
      <c r="HS17" t="e">
        <f>AND(#REF!,"AAAAAB7v9+I=")</f>
        <v>#REF!</v>
      </c>
      <c r="HT17" t="e">
        <f>AND(#REF!,"AAAAAB7v9+M=")</f>
        <v>#REF!</v>
      </c>
      <c r="HU17" t="e">
        <f>AND(#REF!,"AAAAAB7v9+Q=")</f>
        <v>#REF!</v>
      </c>
      <c r="HV17" t="e">
        <f>AND(#REF!,"AAAAAB7v9+U=")</f>
        <v>#REF!</v>
      </c>
      <c r="HW17" t="e">
        <f>IF(#REF!,"AAAAAB7v9+Y=",0)</f>
        <v>#REF!</v>
      </c>
      <c r="HX17" t="e">
        <f>AND(#REF!,"AAAAAB7v9+c=")</f>
        <v>#REF!</v>
      </c>
      <c r="HY17" t="e">
        <f>AND(#REF!,"AAAAAB7v9+g=")</f>
        <v>#REF!</v>
      </c>
      <c r="HZ17" t="e">
        <f>AND(#REF!,"AAAAAB7v9+k=")</f>
        <v>#REF!</v>
      </c>
      <c r="IA17" t="e">
        <f>AND(#REF!,"AAAAAB7v9+o=")</f>
        <v>#REF!</v>
      </c>
      <c r="IB17" t="e">
        <f>AND(#REF!,"AAAAAB7v9+s=")</f>
        <v>#REF!</v>
      </c>
      <c r="IC17" t="e">
        <f>AND(#REF!,"AAAAAB7v9+w=")</f>
        <v>#REF!</v>
      </c>
      <c r="ID17" t="e">
        <f>AND(#REF!,"AAAAAB7v9+0=")</f>
        <v>#REF!</v>
      </c>
      <c r="IE17" t="e">
        <f>AND(#REF!,"AAAAAB7v9+4=")</f>
        <v>#REF!</v>
      </c>
      <c r="IF17" t="e">
        <f>AND(#REF!,"AAAAAB7v9+8=")</f>
        <v>#REF!</v>
      </c>
      <c r="IG17" t="e">
        <f>AND(#REF!,"AAAAAB7v9/A=")</f>
        <v>#REF!</v>
      </c>
      <c r="IH17" t="e">
        <f>AND(#REF!,"AAAAAB7v9/E=")</f>
        <v>#REF!</v>
      </c>
      <c r="II17" t="e">
        <f>AND(#REF!,"AAAAAB7v9/I=")</f>
        <v>#REF!</v>
      </c>
      <c r="IJ17" t="e">
        <f>IF(#REF!,"AAAAAB7v9/M=",0)</f>
        <v>#REF!</v>
      </c>
      <c r="IK17" t="e">
        <f>AND(#REF!,"AAAAAB7v9/Q=")</f>
        <v>#REF!</v>
      </c>
      <c r="IL17" t="e">
        <f>AND(#REF!,"AAAAAB7v9/U=")</f>
        <v>#REF!</v>
      </c>
      <c r="IM17" t="e">
        <f>AND(#REF!,"AAAAAB7v9/Y=")</f>
        <v>#REF!</v>
      </c>
      <c r="IN17" t="e">
        <f>AND(#REF!,"AAAAAB7v9/c=")</f>
        <v>#REF!</v>
      </c>
      <c r="IO17" t="e">
        <f>AND(#REF!,"AAAAAB7v9/g=")</f>
        <v>#REF!</v>
      </c>
      <c r="IP17" t="e">
        <f>AND(#REF!,"AAAAAB7v9/k=")</f>
        <v>#REF!</v>
      </c>
      <c r="IQ17" t="e">
        <f>AND(#REF!,"AAAAAB7v9/o=")</f>
        <v>#REF!</v>
      </c>
      <c r="IR17" t="e">
        <f>AND(#REF!,"AAAAAB7v9/s=")</f>
        <v>#REF!</v>
      </c>
      <c r="IS17" t="e">
        <f>AND(#REF!,"AAAAAB7v9/w=")</f>
        <v>#REF!</v>
      </c>
      <c r="IT17" t="e">
        <f>AND(#REF!,"AAAAAB7v9/0=")</f>
        <v>#REF!</v>
      </c>
      <c r="IU17" t="e">
        <f>AND(#REF!,"AAAAAB7v9/4=")</f>
        <v>#REF!</v>
      </c>
      <c r="IV17" t="e">
        <f>AND(#REF!,"AAAAAB7v9/8=")</f>
        <v>#REF!</v>
      </c>
    </row>
    <row r="18" spans="1:256">
      <c r="A18" t="e">
        <f>IF(#REF!,"AAAAAGtd/wA=",0)</f>
        <v>#REF!</v>
      </c>
      <c r="B18" t="e">
        <f>AND(#REF!,"AAAAAGtd/wE=")</f>
        <v>#REF!</v>
      </c>
      <c r="C18" t="e">
        <f>AND(#REF!,"AAAAAGtd/wI=")</f>
        <v>#REF!</v>
      </c>
      <c r="D18" t="e">
        <f>AND(#REF!,"AAAAAGtd/wM=")</f>
        <v>#REF!</v>
      </c>
      <c r="E18" t="e">
        <f>AND(#REF!,"AAAAAGtd/wQ=")</f>
        <v>#REF!</v>
      </c>
      <c r="F18" t="e">
        <f>AND(#REF!,"AAAAAGtd/wU=")</f>
        <v>#REF!</v>
      </c>
      <c r="G18" t="e">
        <f>AND(#REF!,"AAAAAGtd/wY=")</f>
        <v>#REF!</v>
      </c>
      <c r="H18" t="e">
        <f>AND(#REF!,"AAAAAGtd/wc=")</f>
        <v>#REF!</v>
      </c>
      <c r="I18" t="e">
        <f>AND(#REF!,"AAAAAGtd/wg=")</f>
        <v>#REF!</v>
      </c>
      <c r="J18" t="e">
        <f>AND(#REF!,"AAAAAGtd/wk=")</f>
        <v>#REF!</v>
      </c>
      <c r="K18" t="e">
        <f>AND(#REF!,"AAAAAGtd/wo=")</f>
        <v>#REF!</v>
      </c>
      <c r="L18" t="e">
        <f>AND(#REF!,"AAAAAGtd/ws=")</f>
        <v>#REF!</v>
      </c>
      <c r="M18" t="e">
        <f>AND(#REF!,"AAAAAGtd/ww=")</f>
        <v>#REF!</v>
      </c>
      <c r="N18" t="e">
        <f>IF(#REF!,"AAAAAGtd/w0=",0)</f>
        <v>#REF!</v>
      </c>
      <c r="O18" t="e">
        <f>AND(#REF!,"AAAAAGtd/w4=")</f>
        <v>#REF!</v>
      </c>
      <c r="P18" t="e">
        <f>AND(#REF!,"AAAAAGtd/w8=")</f>
        <v>#REF!</v>
      </c>
      <c r="Q18" t="e">
        <f>AND(#REF!,"AAAAAGtd/xA=")</f>
        <v>#REF!</v>
      </c>
      <c r="R18" t="e">
        <f>AND(#REF!,"AAAAAGtd/xE=")</f>
        <v>#REF!</v>
      </c>
      <c r="S18" t="e">
        <f>AND(#REF!,"AAAAAGtd/xI=")</f>
        <v>#REF!</v>
      </c>
      <c r="T18" t="e">
        <f>AND(#REF!,"AAAAAGtd/xM=")</f>
        <v>#REF!</v>
      </c>
      <c r="U18" t="e">
        <f>AND(#REF!,"AAAAAGtd/xQ=")</f>
        <v>#REF!</v>
      </c>
      <c r="V18" t="e">
        <f>AND(#REF!,"AAAAAGtd/xU=")</f>
        <v>#REF!</v>
      </c>
      <c r="W18" t="e">
        <f>AND(#REF!,"AAAAAGtd/xY=")</f>
        <v>#REF!</v>
      </c>
      <c r="X18" t="e">
        <f>AND(#REF!,"AAAAAGtd/xc=")</f>
        <v>#REF!</v>
      </c>
      <c r="Y18" t="e">
        <f>AND(#REF!,"AAAAAGtd/xg=")</f>
        <v>#REF!</v>
      </c>
      <c r="Z18" t="e">
        <f>AND(#REF!,"AAAAAGtd/xk=")</f>
        <v>#REF!</v>
      </c>
      <c r="AA18" t="e">
        <f>IF(#REF!,"AAAAAGtd/xo=",0)</f>
        <v>#REF!</v>
      </c>
      <c r="AB18" t="e">
        <f>AND(#REF!,"AAAAAGtd/xs=")</f>
        <v>#REF!</v>
      </c>
      <c r="AC18" t="e">
        <f>AND(#REF!,"AAAAAGtd/xw=")</f>
        <v>#REF!</v>
      </c>
      <c r="AD18" t="e">
        <f>AND(#REF!,"AAAAAGtd/x0=")</f>
        <v>#REF!</v>
      </c>
      <c r="AE18" t="e">
        <f>AND(#REF!,"AAAAAGtd/x4=")</f>
        <v>#REF!</v>
      </c>
      <c r="AF18" t="e">
        <f>AND(#REF!,"AAAAAGtd/x8=")</f>
        <v>#REF!</v>
      </c>
      <c r="AG18" t="e">
        <f>AND(#REF!,"AAAAAGtd/yA=")</f>
        <v>#REF!</v>
      </c>
      <c r="AH18" t="e">
        <f>AND(#REF!,"AAAAAGtd/yE=")</f>
        <v>#REF!</v>
      </c>
      <c r="AI18" t="e">
        <f>AND(#REF!,"AAAAAGtd/yI=")</f>
        <v>#REF!</v>
      </c>
      <c r="AJ18" t="e">
        <f>AND(#REF!,"AAAAAGtd/yM=")</f>
        <v>#REF!</v>
      </c>
      <c r="AK18" t="e">
        <f>AND(#REF!,"AAAAAGtd/yQ=")</f>
        <v>#REF!</v>
      </c>
      <c r="AL18" t="e">
        <f>AND(#REF!,"AAAAAGtd/yU=")</f>
        <v>#REF!</v>
      </c>
      <c r="AM18" t="e">
        <f>AND(#REF!,"AAAAAGtd/yY=")</f>
        <v>#REF!</v>
      </c>
      <c r="AN18" t="e">
        <f>IF(#REF!,"AAAAAGtd/yc=",0)</f>
        <v>#REF!</v>
      </c>
      <c r="AO18" t="e">
        <f>AND(#REF!,"AAAAAGtd/yg=")</f>
        <v>#REF!</v>
      </c>
      <c r="AP18" t="e">
        <f>AND(#REF!,"AAAAAGtd/yk=")</f>
        <v>#REF!</v>
      </c>
      <c r="AQ18" t="e">
        <f>AND(#REF!,"AAAAAGtd/yo=")</f>
        <v>#REF!</v>
      </c>
      <c r="AR18" t="e">
        <f>AND(#REF!,"AAAAAGtd/ys=")</f>
        <v>#REF!</v>
      </c>
      <c r="AS18" t="e">
        <f>AND(#REF!,"AAAAAGtd/yw=")</f>
        <v>#REF!</v>
      </c>
      <c r="AT18" t="e">
        <f>AND(#REF!,"AAAAAGtd/y0=")</f>
        <v>#REF!</v>
      </c>
      <c r="AU18" t="e">
        <f>AND(#REF!,"AAAAAGtd/y4=")</f>
        <v>#REF!</v>
      </c>
      <c r="AV18" t="e">
        <f>AND(#REF!,"AAAAAGtd/y8=")</f>
        <v>#REF!</v>
      </c>
      <c r="AW18" t="e">
        <f>AND(#REF!,"AAAAAGtd/zA=")</f>
        <v>#REF!</v>
      </c>
      <c r="AX18" t="e">
        <f>AND(#REF!,"AAAAAGtd/zE=")</f>
        <v>#REF!</v>
      </c>
      <c r="AY18" t="e">
        <f>AND(#REF!,"AAAAAGtd/zI=")</f>
        <v>#REF!</v>
      </c>
      <c r="AZ18" t="e">
        <f>AND(#REF!,"AAAAAGtd/zM=")</f>
        <v>#REF!</v>
      </c>
      <c r="BA18" t="e">
        <f>IF(#REF!,"AAAAAGtd/zQ=",0)</f>
        <v>#REF!</v>
      </c>
      <c r="BB18" t="e">
        <f>AND(#REF!,"AAAAAGtd/zU=")</f>
        <v>#REF!</v>
      </c>
      <c r="BC18" t="e">
        <f>AND(#REF!,"AAAAAGtd/zY=")</f>
        <v>#REF!</v>
      </c>
      <c r="BD18" t="e">
        <f>AND(#REF!,"AAAAAGtd/zc=")</f>
        <v>#REF!</v>
      </c>
      <c r="BE18" t="e">
        <f>AND(#REF!,"AAAAAGtd/zg=")</f>
        <v>#REF!</v>
      </c>
      <c r="BF18" t="e">
        <f>AND(#REF!,"AAAAAGtd/zk=")</f>
        <v>#REF!</v>
      </c>
      <c r="BG18" t="e">
        <f>AND(#REF!,"AAAAAGtd/zo=")</f>
        <v>#REF!</v>
      </c>
      <c r="BH18" t="e">
        <f>AND(#REF!,"AAAAAGtd/zs=")</f>
        <v>#REF!</v>
      </c>
      <c r="BI18" t="e">
        <f>AND(#REF!,"AAAAAGtd/zw=")</f>
        <v>#REF!</v>
      </c>
      <c r="BJ18" t="e">
        <f>AND(#REF!,"AAAAAGtd/z0=")</f>
        <v>#REF!</v>
      </c>
      <c r="BK18" t="e">
        <f>AND(#REF!,"AAAAAGtd/z4=")</f>
        <v>#REF!</v>
      </c>
      <c r="BL18" t="e">
        <f>AND(#REF!,"AAAAAGtd/z8=")</f>
        <v>#REF!</v>
      </c>
      <c r="BM18" t="e">
        <f>AND(#REF!,"AAAAAGtd/0A=")</f>
        <v>#REF!</v>
      </c>
      <c r="BN18" t="e">
        <f>IF(#REF!,"AAAAAGtd/0E=",0)</f>
        <v>#REF!</v>
      </c>
      <c r="BO18" t="e">
        <f>AND(#REF!,"AAAAAGtd/0I=")</f>
        <v>#REF!</v>
      </c>
      <c r="BP18" t="e">
        <f>AND(#REF!,"AAAAAGtd/0M=")</f>
        <v>#REF!</v>
      </c>
      <c r="BQ18" t="e">
        <f>AND(#REF!,"AAAAAGtd/0Q=")</f>
        <v>#REF!</v>
      </c>
      <c r="BR18" t="e">
        <f>AND(#REF!,"AAAAAGtd/0U=")</f>
        <v>#REF!</v>
      </c>
      <c r="BS18" t="e">
        <f>AND(#REF!,"AAAAAGtd/0Y=")</f>
        <v>#REF!</v>
      </c>
      <c r="BT18" t="e">
        <f>AND(#REF!,"AAAAAGtd/0c=")</f>
        <v>#REF!</v>
      </c>
      <c r="BU18" t="e">
        <f>AND(#REF!,"AAAAAGtd/0g=")</f>
        <v>#REF!</v>
      </c>
      <c r="BV18" t="e">
        <f>AND(#REF!,"AAAAAGtd/0k=")</f>
        <v>#REF!</v>
      </c>
      <c r="BW18" t="e">
        <f>AND(#REF!,"AAAAAGtd/0o=")</f>
        <v>#REF!</v>
      </c>
      <c r="BX18" t="e">
        <f>AND(#REF!,"AAAAAGtd/0s=")</f>
        <v>#REF!</v>
      </c>
      <c r="BY18" t="e">
        <f>AND(#REF!,"AAAAAGtd/0w=")</f>
        <v>#REF!</v>
      </c>
      <c r="BZ18" t="e">
        <f>AND(#REF!,"AAAAAGtd/00=")</f>
        <v>#REF!</v>
      </c>
      <c r="CA18" t="e">
        <f>IF(#REF!,"AAAAAGtd/04=",0)</f>
        <v>#REF!</v>
      </c>
      <c r="CB18" t="e">
        <f>AND(#REF!,"AAAAAGtd/08=")</f>
        <v>#REF!</v>
      </c>
      <c r="CC18" t="e">
        <f>AND(#REF!,"AAAAAGtd/1A=")</f>
        <v>#REF!</v>
      </c>
      <c r="CD18" t="e">
        <f>AND(#REF!,"AAAAAGtd/1E=")</f>
        <v>#REF!</v>
      </c>
      <c r="CE18" t="e">
        <f>AND(#REF!,"AAAAAGtd/1I=")</f>
        <v>#REF!</v>
      </c>
      <c r="CF18" t="e">
        <f>AND(#REF!,"AAAAAGtd/1M=")</f>
        <v>#REF!</v>
      </c>
      <c r="CG18" t="e">
        <f>AND(#REF!,"AAAAAGtd/1Q=")</f>
        <v>#REF!</v>
      </c>
      <c r="CH18" t="e">
        <f>AND(#REF!,"AAAAAGtd/1U=")</f>
        <v>#REF!</v>
      </c>
      <c r="CI18" t="e">
        <f>AND(#REF!,"AAAAAGtd/1Y=")</f>
        <v>#REF!</v>
      </c>
      <c r="CJ18" t="e">
        <f>AND(#REF!,"AAAAAGtd/1c=")</f>
        <v>#REF!</v>
      </c>
      <c r="CK18" t="e">
        <f>AND(#REF!,"AAAAAGtd/1g=")</f>
        <v>#REF!</v>
      </c>
      <c r="CL18" t="e">
        <f>AND(#REF!,"AAAAAGtd/1k=")</f>
        <v>#REF!</v>
      </c>
      <c r="CM18" t="e">
        <f>AND(#REF!,"AAAAAGtd/1o=")</f>
        <v>#REF!</v>
      </c>
      <c r="CN18" t="e">
        <f>IF(#REF!,"AAAAAGtd/1s=",0)</f>
        <v>#REF!</v>
      </c>
      <c r="CO18" t="e">
        <f>AND(#REF!,"AAAAAGtd/1w=")</f>
        <v>#REF!</v>
      </c>
      <c r="CP18" t="e">
        <f>AND(#REF!,"AAAAAGtd/10=")</f>
        <v>#REF!</v>
      </c>
      <c r="CQ18" t="e">
        <f>AND(#REF!,"AAAAAGtd/14=")</f>
        <v>#REF!</v>
      </c>
      <c r="CR18" t="e">
        <f>AND(#REF!,"AAAAAGtd/18=")</f>
        <v>#REF!</v>
      </c>
      <c r="CS18" t="e">
        <f>AND(#REF!,"AAAAAGtd/2A=")</f>
        <v>#REF!</v>
      </c>
      <c r="CT18" t="e">
        <f>AND(#REF!,"AAAAAGtd/2E=")</f>
        <v>#REF!</v>
      </c>
      <c r="CU18" t="e">
        <f>AND(#REF!,"AAAAAGtd/2I=")</f>
        <v>#REF!</v>
      </c>
      <c r="CV18" t="e">
        <f>AND(#REF!,"AAAAAGtd/2M=")</f>
        <v>#REF!</v>
      </c>
      <c r="CW18" t="e">
        <f>AND(#REF!,"AAAAAGtd/2Q=")</f>
        <v>#REF!</v>
      </c>
      <c r="CX18" t="e">
        <f>AND(#REF!,"AAAAAGtd/2U=")</f>
        <v>#REF!</v>
      </c>
      <c r="CY18" t="e">
        <f>AND(#REF!,"AAAAAGtd/2Y=")</f>
        <v>#REF!</v>
      </c>
      <c r="CZ18" t="e">
        <f>AND(#REF!,"AAAAAGtd/2c=")</f>
        <v>#REF!</v>
      </c>
      <c r="DA18" t="e">
        <f>IF(#REF!,"AAAAAGtd/2g=",0)</f>
        <v>#REF!</v>
      </c>
      <c r="DB18" t="e">
        <f>AND(#REF!,"AAAAAGtd/2k=")</f>
        <v>#REF!</v>
      </c>
      <c r="DC18" t="e">
        <f>AND(#REF!,"AAAAAGtd/2o=")</f>
        <v>#REF!</v>
      </c>
      <c r="DD18" t="e">
        <f>AND(#REF!,"AAAAAGtd/2s=")</f>
        <v>#REF!</v>
      </c>
      <c r="DE18" t="e">
        <f>AND(#REF!,"AAAAAGtd/2w=")</f>
        <v>#REF!</v>
      </c>
      <c r="DF18" t="e">
        <f>AND(#REF!,"AAAAAGtd/20=")</f>
        <v>#REF!</v>
      </c>
      <c r="DG18" t="e">
        <f>AND(#REF!,"AAAAAGtd/24=")</f>
        <v>#REF!</v>
      </c>
      <c r="DH18" t="e">
        <f>AND(#REF!,"AAAAAGtd/28=")</f>
        <v>#REF!</v>
      </c>
      <c r="DI18" t="e">
        <f>AND(#REF!,"AAAAAGtd/3A=")</f>
        <v>#REF!</v>
      </c>
      <c r="DJ18" t="e">
        <f>AND(#REF!,"AAAAAGtd/3E=")</f>
        <v>#REF!</v>
      </c>
      <c r="DK18" t="e">
        <f>AND(#REF!,"AAAAAGtd/3I=")</f>
        <v>#REF!</v>
      </c>
      <c r="DL18" t="e">
        <f>AND(#REF!,"AAAAAGtd/3M=")</f>
        <v>#REF!</v>
      </c>
      <c r="DM18" t="e">
        <f>AND(#REF!,"AAAAAGtd/3Q=")</f>
        <v>#REF!</v>
      </c>
      <c r="DN18" t="e">
        <f>IF(#REF!,"AAAAAGtd/3U=",0)</f>
        <v>#REF!</v>
      </c>
      <c r="DO18" t="e">
        <f>AND(#REF!,"AAAAAGtd/3Y=")</f>
        <v>#REF!</v>
      </c>
      <c r="DP18" t="e">
        <f>AND(#REF!,"AAAAAGtd/3c=")</f>
        <v>#REF!</v>
      </c>
      <c r="DQ18" t="e">
        <f>AND(#REF!,"AAAAAGtd/3g=")</f>
        <v>#REF!</v>
      </c>
      <c r="DR18" t="e">
        <f>AND(#REF!,"AAAAAGtd/3k=")</f>
        <v>#REF!</v>
      </c>
      <c r="DS18" t="e">
        <f>AND(#REF!,"AAAAAGtd/3o=")</f>
        <v>#REF!</v>
      </c>
      <c r="DT18" t="e">
        <f>AND(#REF!,"AAAAAGtd/3s=")</f>
        <v>#REF!</v>
      </c>
      <c r="DU18" t="e">
        <f>AND(#REF!,"AAAAAGtd/3w=")</f>
        <v>#REF!</v>
      </c>
      <c r="DV18" t="e">
        <f>AND(#REF!,"AAAAAGtd/30=")</f>
        <v>#REF!</v>
      </c>
      <c r="DW18" t="e">
        <f>AND(#REF!,"AAAAAGtd/34=")</f>
        <v>#REF!</v>
      </c>
      <c r="DX18" t="e">
        <f>AND(#REF!,"AAAAAGtd/38=")</f>
        <v>#REF!</v>
      </c>
      <c r="DY18" t="e">
        <f>AND(#REF!,"AAAAAGtd/4A=")</f>
        <v>#REF!</v>
      </c>
      <c r="DZ18" t="e">
        <f>AND(#REF!,"AAAAAGtd/4E=")</f>
        <v>#REF!</v>
      </c>
      <c r="EA18" t="e">
        <f>IF(#REF!,"AAAAAGtd/4I=",0)</f>
        <v>#REF!</v>
      </c>
      <c r="EB18" t="e">
        <f>AND(#REF!,"AAAAAGtd/4M=")</f>
        <v>#REF!</v>
      </c>
      <c r="EC18" t="e">
        <f>AND(#REF!,"AAAAAGtd/4Q=")</f>
        <v>#REF!</v>
      </c>
      <c r="ED18" t="e">
        <f>AND(#REF!,"AAAAAGtd/4U=")</f>
        <v>#REF!</v>
      </c>
      <c r="EE18" t="e">
        <f>AND(#REF!,"AAAAAGtd/4Y=")</f>
        <v>#REF!</v>
      </c>
      <c r="EF18" t="e">
        <f>AND(#REF!,"AAAAAGtd/4c=")</f>
        <v>#REF!</v>
      </c>
      <c r="EG18" t="e">
        <f>AND(#REF!,"AAAAAGtd/4g=")</f>
        <v>#REF!</v>
      </c>
      <c r="EH18" t="e">
        <f>AND(#REF!,"AAAAAGtd/4k=")</f>
        <v>#REF!</v>
      </c>
      <c r="EI18" t="e">
        <f>AND(#REF!,"AAAAAGtd/4o=")</f>
        <v>#REF!</v>
      </c>
      <c r="EJ18" t="e">
        <f>AND(#REF!,"AAAAAGtd/4s=")</f>
        <v>#REF!</v>
      </c>
      <c r="EK18" t="e">
        <f>AND(#REF!,"AAAAAGtd/4w=")</f>
        <v>#REF!</v>
      </c>
      <c r="EL18" t="e">
        <f>AND(#REF!,"AAAAAGtd/40=")</f>
        <v>#REF!</v>
      </c>
      <c r="EM18" t="e">
        <f>AND(#REF!,"AAAAAGtd/44=")</f>
        <v>#REF!</v>
      </c>
      <c r="EN18" t="e">
        <f>IF(#REF!,"AAAAAGtd/48=",0)</f>
        <v>#REF!</v>
      </c>
      <c r="EO18" t="e">
        <f>AND(#REF!,"AAAAAGtd/5A=")</f>
        <v>#REF!</v>
      </c>
      <c r="EP18" t="e">
        <f>AND(#REF!,"AAAAAGtd/5E=")</f>
        <v>#REF!</v>
      </c>
      <c r="EQ18" t="e">
        <f>AND(#REF!,"AAAAAGtd/5I=")</f>
        <v>#REF!</v>
      </c>
      <c r="ER18" t="e">
        <f>AND(#REF!,"AAAAAGtd/5M=")</f>
        <v>#REF!</v>
      </c>
      <c r="ES18" t="e">
        <f>AND(#REF!,"AAAAAGtd/5Q=")</f>
        <v>#REF!</v>
      </c>
      <c r="ET18" t="e">
        <f>AND(#REF!,"AAAAAGtd/5U=")</f>
        <v>#REF!</v>
      </c>
      <c r="EU18" t="e">
        <f>AND(#REF!,"AAAAAGtd/5Y=")</f>
        <v>#REF!</v>
      </c>
      <c r="EV18" t="e">
        <f>AND(#REF!,"AAAAAGtd/5c=")</f>
        <v>#REF!</v>
      </c>
      <c r="EW18" t="e">
        <f>AND(#REF!,"AAAAAGtd/5g=")</f>
        <v>#REF!</v>
      </c>
      <c r="EX18" t="e">
        <f>AND(#REF!,"AAAAAGtd/5k=")</f>
        <v>#REF!</v>
      </c>
      <c r="EY18" t="e">
        <f>AND(#REF!,"AAAAAGtd/5o=")</f>
        <v>#REF!</v>
      </c>
      <c r="EZ18" t="e">
        <f>AND(#REF!,"AAAAAGtd/5s=")</f>
        <v>#REF!</v>
      </c>
      <c r="FA18" t="e">
        <f>IF(#REF!,"AAAAAGtd/5w=",0)</f>
        <v>#REF!</v>
      </c>
      <c r="FB18" t="e">
        <f>AND(#REF!,"AAAAAGtd/50=")</f>
        <v>#REF!</v>
      </c>
      <c r="FC18" t="e">
        <f>AND(#REF!,"AAAAAGtd/54=")</f>
        <v>#REF!</v>
      </c>
      <c r="FD18" t="e">
        <f>AND(#REF!,"AAAAAGtd/58=")</f>
        <v>#REF!</v>
      </c>
      <c r="FE18" t="e">
        <f>AND(#REF!,"AAAAAGtd/6A=")</f>
        <v>#REF!</v>
      </c>
      <c r="FF18" t="e">
        <f>AND(#REF!,"AAAAAGtd/6E=")</f>
        <v>#REF!</v>
      </c>
      <c r="FG18" t="e">
        <f>AND(#REF!,"AAAAAGtd/6I=")</f>
        <v>#REF!</v>
      </c>
      <c r="FH18" t="e">
        <f>AND(#REF!,"AAAAAGtd/6M=")</f>
        <v>#REF!</v>
      </c>
      <c r="FI18" t="e">
        <f>AND(#REF!,"AAAAAGtd/6Q=")</f>
        <v>#REF!</v>
      </c>
      <c r="FJ18" t="e">
        <f>AND(#REF!,"AAAAAGtd/6U=")</f>
        <v>#REF!</v>
      </c>
      <c r="FK18" t="e">
        <f>AND(#REF!,"AAAAAGtd/6Y=")</f>
        <v>#REF!</v>
      </c>
      <c r="FL18" t="e">
        <f>AND(#REF!,"AAAAAGtd/6c=")</f>
        <v>#REF!</v>
      </c>
      <c r="FM18" t="e">
        <f>AND(#REF!,"AAAAAGtd/6g=")</f>
        <v>#REF!</v>
      </c>
      <c r="FN18" t="e">
        <f>IF(#REF!,"AAAAAGtd/6k=",0)</f>
        <v>#REF!</v>
      </c>
      <c r="FO18" t="e">
        <f>AND(#REF!,"AAAAAGtd/6o=")</f>
        <v>#REF!</v>
      </c>
      <c r="FP18" t="e">
        <f>AND(#REF!,"AAAAAGtd/6s=")</f>
        <v>#REF!</v>
      </c>
      <c r="FQ18" t="e">
        <f>AND(#REF!,"AAAAAGtd/6w=")</f>
        <v>#REF!</v>
      </c>
      <c r="FR18" t="e">
        <f>AND(#REF!,"AAAAAGtd/60=")</f>
        <v>#REF!</v>
      </c>
      <c r="FS18" t="e">
        <f>AND(#REF!,"AAAAAGtd/64=")</f>
        <v>#REF!</v>
      </c>
      <c r="FT18" t="e">
        <f>AND(#REF!,"AAAAAGtd/68=")</f>
        <v>#REF!</v>
      </c>
      <c r="FU18" t="e">
        <f>AND(#REF!,"AAAAAGtd/7A=")</f>
        <v>#REF!</v>
      </c>
      <c r="FV18" t="e">
        <f>AND(#REF!,"AAAAAGtd/7E=")</f>
        <v>#REF!</v>
      </c>
      <c r="FW18" t="e">
        <f>AND(#REF!,"AAAAAGtd/7I=")</f>
        <v>#REF!</v>
      </c>
      <c r="FX18" t="e">
        <f>AND(#REF!,"AAAAAGtd/7M=")</f>
        <v>#REF!</v>
      </c>
      <c r="FY18" t="e">
        <f>AND(#REF!,"AAAAAGtd/7Q=")</f>
        <v>#REF!</v>
      </c>
      <c r="FZ18" t="e">
        <f>AND(#REF!,"AAAAAGtd/7U=")</f>
        <v>#REF!</v>
      </c>
      <c r="GA18" t="e">
        <f>IF(#REF!,"AAAAAGtd/7Y=",0)</f>
        <v>#REF!</v>
      </c>
      <c r="GB18" t="e">
        <f>AND(#REF!,"AAAAAGtd/7c=")</f>
        <v>#REF!</v>
      </c>
      <c r="GC18" t="e">
        <f>AND(#REF!,"AAAAAGtd/7g=")</f>
        <v>#REF!</v>
      </c>
      <c r="GD18" t="e">
        <f>AND(#REF!,"AAAAAGtd/7k=")</f>
        <v>#REF!</v>
      </c>
      <c r="GE18" t="e">
        <f>AND(#REF!,"AAAAAGtd/7o=")</f>
        <v>#REF!</v>
      </c>
      <c r="GF18" t="e">
        <f>AND(#REF!,"AAAAAGtd/7s=")</f>
        <v>#REF!</v>
      </c>
      <c r="GG18" t="e">
        <f>AND(#REF!,"AAAAAGtd/7w=")</f>
        <v>#REF!</v>
      </c>
      <c r="GH18" t="e">
        <f>AND(#REF!,"AAAAAGtd/70=")</f>
        <v>#REF!</v>
      </c>
      <c r="GI18" t="e">
        <f>AND(#REF!,"AAAAAGtd/74=")</f>
        <v>#REF!</v>
      </c>
      <c r="GJ18" t="e">
        <f>AND(#REF!,"AAAAAGtd/78=")</f>
        <v>#REF!</v>
      </c>
      <c r="GK18" t="e">
        <f>AND(#REF!,"AAAAAGtd/8A=")</f>
        <v>#REF!</v>
      </c>
      <c r="GL18" t="e">
        <f>AND(#REF!,"AAAAAGtd/8E=")</f>
        <v>#REF!</v>
      </c>
      <c r="GM18" t="e">
        <f>AND(#REF!,"AAAAAGtd/8I=")</f>
        <v>#REF!</v>
      </c>
      <c r="GN18" t="e">
        <f>IF(#REF!,"AAAAAGtd/8M=",0)</f>
        <v>#REF!</v>
      </c>
      <c r="GO18" t="e">
        <f>AND(#REF!,"AAAAAGtd/8Q=")</f>
        <v>#REF!</v>
      </c>
      <c r="GP18" t="e">
        <f>AND(#REF!,"AAAAAGtd/8U=")</f>
        <v>#REF!</v>
      </c>
      <c r="GQ18" t="e">
        <f>AND(#REF!,"AAAAAGtd/8Y=")</f>
        <v>#REF!</v>
      </c>
      <c r="GR18" t="e">
        <f>AND(#REF!,"AAAAAGtd/8c=")</f>
        <v>#REF!</v>
      </c>
      <c r="GS18" t="e">
        <f>AND(#REF!,"AAAAAGtd/8g=")</f>
        <v>#REF!</v>
      </c>
      <c r="GT18" t="e">
        <f>AND(#REF!,"AAAAAGtd/8k=")</f>
        <v>#REF!</v>
      </c>
      <c r="GU18" t="e">
        <f>AND(#REF!,"AAAAAGtd/8o=")</f>
        <v>#REF!</v>
      </c>
      <c r="GV18" t="e">
        <f>AND(#REF!,"AAAAAGtd/8s=")</f>
        <v>#REF!</v>
      </c>
      <c r="GW18" t="e">
        <f>AND(#REF!,"AAAAAGtd/8w=")</f>
        <v>#REF!</v>
      </c>
      <c r="GX18" t="e">
        <f>AND(#REF!,"AAAAAGtd/80=")</f>
        <v>#REF!</v>
      </c>
      <c r="GY18" t="e">
        <f>AND(#REF!,"AAAAAGtd/84=")</f>
        <v>#REF!</v>
      </c>
      <c r="GZ18" t="e">
        <f>AND(#REF!,"AAAAAGtd/88=")</f>
        <v>#REF!</v>
      </c>
      <c r="HA18" t="e">
        <f>IF(#REF!,"AAAAAGtd/9A=",0)</f>
        <v>#REF!</v>
      </c>
      <c r="HB18" t="e">
        <f>AND(#REF!,"AAAAAGtd/9E=")</f>
        <v>#REF!</v>
      </c>
      <c r="HC18" t="e">
        <f>AND(#REF!,"AAAAAGtd/9I=")</f>
        <v>#REF!</v>
      </c>
      <c r="HD18" t="e">
        <f>AND(#REF!,"AAAAAGtd/9M=")</f>
        <v>#REF!</v>
      </c>
      <c r="HE18" t="e">
        <f>AND(#REF!,"AAAAAGtd/9Q=")</f>
        <v>#REF!</v>
      </c>
      <c r="HF18" t="e">
        <f>AND(#REF!,"AAAAAGtd/9U=")</f>
        <v>#REF!</v>
      </c>
      <c r="HG18" t="e">
        <f>AND(#REF!,"AAAAAGtd/9Y=")</f>
        <v>#REF!</v>
      </c>
      <c r="HH18" t="e">
        <f>AND(#REF!,"AAAAAGtd/9c=")</f>
        <v>#REF!</v>
      </c>
      <c r="HI18" t="e">
        <f>AND(#REF!,"AAAAAGtd/9g=")</f>
        <v>#REF!</v>
      </c>
      <c r="HJ18" t="e">
        <f>AND(#REF!,"AAAAAGtd/9k=")</f>
        <v>#REF!</v>
      </c>
      <c r="HK18" t="e">
        <f>AND(#REF!,"AAAAAGtd/9o=")</f>
        <v>#REF!</v>
      </c>
      <c r="HL18" t="e">
        <f>AND(#REF!,"AAAAAGtd/9s=")</f>
        <v>#REF!</v>
      </c>
      <c r="HM18" t="e">
        <f>AND(#REF!,"AAAAAGtd/9w=")</f>
        <v>#REF!</v>
      </c>
      <c r="HN18" t="e">
        <f>IF(#REF!,"AAAAAGtd/90=",0)</f>
        <v>#REF!</v>
      </c>
      <c r="HO18" t="e">
        <f>AND(#REF!,"AAAAAGtd/94=")</f>
        <v>#REF!</v>
      </c>
      <c r="HP18" t="e">
        <f>AND(#REF!,"AAAAAGtd/98=")</f>
        <v>#REF!</v>
      </c>
      <c r="HQ18" t="e">
        <f>AND(#REF!,"AAAAAGtd/+A=")</f>
        <v>#REF!</v>
      </c>
      <c r="HR18" t="e">
        <f>AND(#REF!,"AAAAAGtd/+E=")</f>
        <v>#REF!</v>
      </c>
      <c r="HS18" t="e">
        <f>AND(#REF!,"AAAAAGtd/+I=")</f>
        <v>#REF!</v>
      </c>
      <c r="HT18" t="e">
        <f>AND(#REF!,"AAAAAGtd/+M=")</f>
        <v>#REF!</v>
      </c>
      <c r="HU18" t="e">
        <f>AND(#REF!,"AAAAAGtd/+Q=")</f>
        <v>#REF!</v>
      </c>
      <c r="HV18" t="e">
        <f>AND(#REF!,"AAAAAGtd/+U=")</f>
        <v>#REF!</v>
      </c>
      <c r="HW18" t="e">
        <f>AND(#REF!,"AAAAAGtd/+Y=")</f>
        <v>#REF!</v>
      </c>
      <c r="HX18" t="e">
        <f>AND(#REF!,"AAAAAGtd/+c=")</f>
        <v>#REF!</v>
      </c>
      <c r="HY18" t="e">
        <f>AND(#REF!,"AAAAAGtd/+g=")</f>
        <v>#REF!</v>
      </c>
      <c r="HZ18" t="e">
        <f>AND(#REF!,"AAAAAGtd/+k=")</f>
        <v>#REF!</v>
      </c>
      <c r="IA18" t="e">
        <f>IF(#REF!,"AAAAAGtd/+o=",0)</f>
        <v>#REF!</v>
      </c>
      <c r="IB18" t="e">
        <f>AND(#REF!,"AAAAAGtd/+s=")</f>
        <v>#REF!</v>
      </c>
      <c r="IC18" t="e">
        <f>AND(#REF!,"AAAAAGtd/+w=")</f>
        <v>#REF!</v>
      </c>
      <c r="ID18" t="e">
        <f>AND(#REF!,"AAAAAGtd/+0=")</f>
        <v>#REF!</v>
      </c>
      <c r="IE18" t="e">
        <f>AND(#REF!,"AAAAAGtd/+4=")</f>
        <v>#REF!</v>
      </c>
      <c r="IF18" t="e">
        <f>AND(#REF!,"AAAAAGtd/+8=")</f>
        <v>#REF!</v>
      </c>
      <c r="IG18" t="e">
        <f>AND(#REF!,"AAAAAGtd//A=")</f>
        <v>#REF!</v>
      </c>
      <c r="IH18" t="e">
        <f>AND(#REF!,"AAAAAGtd//E=")</f>
        <v>#REF!</v>
      </c>
      <c r="II18" t="e">
        <f>AND(#REF!,"AAAAAGtd//I=")</f>
        <v>#REF!</v>
      </c>
      <c r="IJ18" t="e">
        <f>AND(#REF!,"AAAAAGtd//M=")</f>
        <v>#REF!</v>
      </c>
      <c r="IK18" t="e">
        <f>AND(#REF!,"AAAAAGtd//Q=")</f>
        <v>#REF!</v>
      </c>
      <c r="IL18" t="e">
        <f>AND(#REF!,"AAAAAGtd//U=")</f>
        <v>#REF!</v>
      </c>
      <c r="IM18" t="e">
        <f>AND(#REF!,"AAAAAGtd//Y=")</f>
        <v>#REF!</v>
      </c>
      <c r="IN18" t="e">
        <f>IF(#REF!,"AAAAAGtd//c=",0)</f>
        <v>#REF!</v>
      </c>
      <c r="IO18" t="e">
        <f>AND(#REF!,"AAAAAGtd//g=")</f>
        <v>#REF!</v>
      </c>
      <c r="IP18" t="e">
        <f>AND(#REF!,"AAAAAGtd//k=")</f>
        <v>#REF!</v>
      </c>
      <c r="IQ18" t="e">
        <f>AND(#REF!,"AAAAAGtd//o=")</f>
        <v>#REF!</v>
      </c>
      <c r="IR18" t="e">
        <f>AND(#REF!,"AAAAAGtd//s=")</f>
        <v>#REF!</v>
      </c>
      <c r="IS18" t="e">
        <f>AND(#REF!,"AAAAAGtd//w=")</f>
        <v>#REF!</v>
      </c>
      <c r="IT18" t="e">
        <f>AND(#REF!,"AAAAAGtd//0=")</f>
        <v>#REF!</v>
      </c>
      <c r="IU18" t="e">
        <f>AND(#REF!,"AAAAAGtd//4=")</f>
        <v>#REF!</v>
      </c>
      <c r="IV18" t="e">
        <f>AND(#REF!,"AAAAAGtd//8=")</f>
        <v>#REF!</v>
      </c>
    </row>
    <row r="19" spans="1:256">
      <c r="A19" t="e">
        <f>AND(#REF!,"AAAAAC7vTAA=")</f>
        <v>#REF!</v>
      </c>
      <c r="B19" t="e">
        <f>AND(#REF!,"AAAAAC7vTAE=")</f>
        <v>#REF!</v>
      </c>
      <c r="C19" t="e">
        <f>AND(#REF!,"AAAAAC7vTAI=")</f>
        <v>#REF!</v>
      </c>
      <c r="D19" t="e">
        <f>AND(#REF!,"AAAAAC7vTAM=")</f>
        <v>#REF!</v>
      </c>
      <c r="E19" t="e">
        <f>IF(#REF!,"AAAAAC7vTAQ=",0)</f>
        <v>#REF!</v>
      </c>
      <c r="F19" t="e">
        <f>AND(#REF!,"AAAAAC7vTAU=")</f>
        <v>#REF!</v>
      </c>
      <c r="G19" t="e">
        <f>AND(#REF!,"AAAAAC7vTAY=")</f>
        <v>#REF!</v>
      </c>
      <c r="H19" t="e">
        <f>AND(#REF!,"AAAAAC7vTAc=")</f>
        <v>#REF!</v>
      </c>
      <c r="I19" t="e">
        <f>AND(#REF!,"AAAAAC7vTAg=")</f>
        <v>#REF!</v>
      </c>
      <c r="J19" t="e">
        <f>AND(#REF!,"AAAAAC7vTAk=")</f>
        <v>#REF!</v>
      </c>
      <c r="K19" t="e">
        <f>AND(#REF!,"AAAAAC7vTAo=")</f>
        <v>#REF!</v>
      </c>
      <c r="L19" t="e">
        <f>AND(#REF!,"AAAAAC7vTAs=")</f>
        <v>#REF!</v>
      </c>
      <c r="M19" t="e">
        <f>AND(#REF!,"AAAAAC7vTAw=")</f>
        <v>#REF!</v>
      </c>
      <c r="N19" t="e">
        <f>AND(#REF!,"AAAAAC7vTA0=")</f>
        <v>#REF!</v>
      </c>
      <c r="O19" t="e">
        <f>AND(#REF!,"AAAAAC7vTA4=")</f>
        <v>#REF!</v>
      </c>
      <c r="P19" t="e">
        <f>AND(#REF!,"AAAAAC7vTA8=")</f>
        <v>#REF!</v>
      </c>
      <c r="Q19" t="e">
        <f>AND(#REF!,"AAAAAC7vTBA=")</f>
        <v>#REF!</v>
      </c>
      <c r="R19" t="e">
        <f>IF(#REF!,"AAAAAC7vTBE=",0)</f>
        <v>#REF!</v>
      </c>
      <c r="S19" t="e">
        <f>AND(#REF!,"AAAAAC7vTBI=")</f>
        <v>#REF!</v>
      </c>
      <c r="T19" t="e">
        <f>AND(#REF!,"AAAAAC7vTBM=")</f>
        <v>#REF!</v>
      </c>
      <c r="U19" t="e">
        <f>AND(#REF!,"AAAAAC7vTBQ=")</f>
        <v>#REF!</v>
      </c>
      <c r="V19" t="e">
        <f>AND(#REF!,"AAAAAC7vTBU=")</f>
        <v>#REF!</v>
      </c>
      <c r="W19" t="e">
        <f>AND(#REF!,"AAAAAC7vTBY=")</f>
        <v>#REF!</v>
      </c>
      <c r="X19" t="e">
        <f>AND(#REF!,"AAAAAC7vTBc=")</f>
        <v>#REF!</v>
      </c>
      <c r="Y19" t="e">
        <f>IF(#REF!,"AAAAAC7vTBg=",0)</f>
        <v>#REF!</v>
      </c>
      <c r="Z19" t="e">
        <f>AND(#REF!,"AAAAAC7vTBk=")</f>
        <v>#REF!</v>
      </c>
      <c r="AA19" t="e">
        <f>AND(#REF!,"AAAAAC7vTBo=")</f>
        <v>#REF!</v>
      </c>
      <c r="AB19" t="e">
        <f>AND(#REF!,"AAAAAC7vTBs=")</f>
        <v>#REF!</v>
      </c>
      <c r="AC19" t="e">
        <f>AND(#REF!,"AAAAAC7vTBw=")</f>
        <v>#REF!</v>
      </c>
      <c r="AD19" t="e">
        <f>AND(#REF!,"AAAAAC7vTB0=")</f>
        <v>#REF!</v>
      </c>
      <c r="AE19" t="e">
        <f>AND(#REF!,"AAAAAC7vTB4=")</f>
        <v>#REF!</v>
      </c>
      <c r="AF19" t="e">
        <f>IF(#REF!,"AAAAAC7vTB8=",0)</f>
        <v>#REF!</v>
      </c>
      <c r="AG19" t="e">
        <f>AND(#REF!,"AAAAAC7vTCA=")</f>
        <v>#REF!</v>
      </c>
      <c r="AH19" t="e">
        <f>AND(#REF!,"AAAAAC7vTCE=")</f>
        <v>#REF!</v>
      </c>
      <c r="AI19" t="e">
        <f>AND(#REF!,"AAAAAC7vTCI=")</f>
        <v>#REF!</v>
      </c>
      <c r="AJ19" t="e">
        <f>AND(#REF!,"AAAAAC7vTCM=")</f>
        <v>#REF!</v>
      </c>
      <c r="AK19" t="e">
        <f>AND(#REF!,"AAAAAC7vTCQ=")</f>
        <v>#REF!</v>
      </c>
      <c r="AL19" t="e">
        <f>AND(#REF!,"AAAAAC7vTCU=")</f>
        <v>#REF!</v>
      </c>
      <c r="AM19" t="e">
        <f>IF(#REF!,"AAAAAC7vTCY=",0)</f>
        <v>#REF!</v>
      </c>
      <c r="AN19" t="e">
        <f>AND(#REF!,"AAAAAC7vTCc=")</f>
        <v>#REF!</v>
      </c>
      <c r="AO19" t="e">
        <f>AND(#REF!,"AAAAAC7vTCg=")</f>
        <v>#REF!</v>
      </c>
      <c r="AP19" t="e">
        <f>AND(#REF!,"AAAAAC7vTCk=")</f>
        <v>#REF!</v>
      </c>
      <c r="AQ19" t="e">
        <f>AND(#REF!,"AAAAAC7vTCo=")</f>
        <v>#REF!</v>
      </c>
      <c r="AR19" t="e">
        <f>AND(#REF!,"AAAAAC7vTCs=")</f>
        <v>#REF!</v>
      </c>
      <c r="AS19" t="e">
        <f>AND(#REF!,"AAAAAC7vTCw=")</f>
        <v>#REF!</v>
      </c>
      <c r="AT19" t="e">
        <f>IF(#REF!,"AAAAAC7vTC0=",0)</f>
        <v>#REF!</v>
      </c>
      <c r="AU19" t="e">
        <f>IF(#REF!,"AAAAAC7vTC4=",0)</f>
        <v>#REF!</v>
      </c>
      <c r="AV19" t="e">
        <f>IF(#REF!,"AAAAAC7vTC8=",0)</f>
        <v>#REF!</v>
      </c>
      <c r="AW19" t="e">
        <f>IF(#REF!,"AAAAAC7vTDA=",0)</f>
        <v>#REF!</v>
      </c>
      <c r="AX19" t="e">
        <f>IF(#REF!,"AAAAAC7vTDE=",0)</f>
        <v>#REF!</v>
      </c>
      <c r="AY19" t="e">
        <f>IF(#REF!,"AAAAAC7vTDI=",0)</f>
        <v>#REF!</v>
      </c>
      <c r="AZ19" t="e">
        <f>IF(#REF!,"AAAAAC7vTDM=",0)</f>
        <v>#REF!</v>
      </c>
      <c r="BA19" t="e">
        <f>IF(#REF!,"AAAAAC7vTDQ=",0)</f>
        <v>#REF!</v>
      </c>
      <c r="BB19" t="e">
        <f>IF(#REF!,"AAAAAC7vTDU=",0)</f>
        <v>#REF!</v>
      </c>
      <c r="BC19" t="e">
        <f>IF(#REF!,"AAAAAC7vTDY=",0)</f>
        <v>#REF!</v>
      </c>
      <c r="BD19" t="e">
        <f>IF(#REF!,"AAAAAC7vTDc=",0)</f>
        <v>#REF!</v>
      </c>
      <c r="BE19" t="e">
        <f>IF(#REF!,"AAAAAC7vTDg=",0)</f>
        <v>#REF!</v>
      </c>
      <c r="BF19" t="e">
        <f>IF(#REF!,"AAAAAC7vTDk=",0)</f>
        <v>#REF!</v>
      </c>
      <c r="BG19" t="e">
        <f>AND(#REF!,"AAAAAC7vTDo=")</f>
        <v>#REF!</v>
      </c>
      <c r="BH19" t="e">
        <f>AND(#REF!,"AAAAAC7vTDs=")</f>
        <v>#REF!</v>
      </c>
      <c r="BI19" t="e">
        <f>AND(#REF!,"AAAAAC7vTDw=")</f>
        <v>#REF!</v>
      </c>
      <c r="BJ19" t="e">
        <f>AND(#REF!,"AAAAAC7vTD0=")</f>
        <v>#REF!</v>
      </c>
      <c r="BK19" t="e">
        <f>AND(#REF!,"AAAAAC7vTD4=")</f>
        <v>#REF!</v>
      </c>
      <c r="BL19" t="e">
        <f>AND(#REF!,"AAAAAC7vTD8=")</f>
        <v>#REF!</v>
      </c>
      <c r="BM19" t="e">
        <f>AND(#REF!,"AAAAAC7vTEA=")</f>
        <v>#REF!</v>
      </c>
      <c r="BN19" t="e">
        <f>AND(#REF!,"AAAAAC7vTEE=")</f>
        <v>#REF!</v>
      </c>
      <c r="BO19" t="e">
        <f>AND(#REF!,"AAAAAC7vTEI=")</f>
        <v>#REF!</v>
      </c>
      <c r="BP19" t="e">
        <f>AND(#REF!,"AAAAAC7vTEM=")</f>
        <v>#REF!</v>
      </c>
      <c r="BQ19" t="e">
        <f>AND(#REF!,"AAAAAC7vTEQ=")</f>
        <v>#REF!</v>
      </c>
      <c r="BR19" t="e">
        <f>IF(#REF!,"AAAAAC7vTEU=",0)</f>
        <v>#REF!</v>
      </c>
      <c r="BS19" t="e">
        <f>AND(#REF!,"AAAAAC7vTEY=")</f>
        <v>#REF!</v>
      </c>
      <c r="BT19" t="e">
        <f>AND(#REF!,"AAAAAC7vTEc=")</f>
        <v>#REF!</v>
      </c>
      <c r="BU19" t="e">
        <f>AND(#REF!,"AAAAAC7vTEg=")</f>
        <v>#REF!</v>
      </c>
      <c r="BV19" t="e">
        <f>AND(#REF!,"AAAAAC7vTEk=")</f>
        <v>#REF!</v>
      </c>
      <c r="BW19" t="e">
        <f>AND(#REF!,"AAAAAC7vTEo=")</f>
        <v>#REF!</v>
      </c>
      <c r="BX19" t="e">
        <f>AND(#REF!,"AAAAAC7vTEs=")</f>
        <v>#REF!</v>
      </c>
      <c r="BY19" t="e">
        <f>AND(#REF!,"AAAAAC7vTEw=")</f>
        <v>#REF!</v>
      </c>
      <c r="BZ19" t="e">
        <f>AND(#REF!,"AAAAAC7vTE0=")</f>
        <v>#REF!</v>
      </c>
      <c r="CA19" t="e">
        <f>AND(#REF!,"AAAAAC7vTE4=")</f>
        <v>#REF!</v>
      </c>
      <c r="CB19" t="e">
        <f>AND(#REF!,"AAAAAC7vTE8=")</f>
        <v>#REF!</v>
      </c>
      <c r="CC19" t="e">
        <f>AND(#REF!,"AAAAAC7vTFA=")</f>
        <v>#REF!</v>
      </c>
      <c r="CD19" t="e">
        <f>IF(#REF!,"AAAAAC7vTFE=",0)</f>
        <v>#REF!</v>
      </c>
      <c r="CE19" t="e">
        <f>AND(#REF!,"AAAAAC7vTFI=")</f>
        <v>#REF!</v>
      </c>
      <c r="CF19" t="e">
        <f>AND(#REF!,"AAAAAC7vTFM=")</f>
        <v>#REF!</v>
      </c>
      <c r="CG19" t="e">
        <f>AND(#REF!,"AAAAAC7vTFQ=")</f>
        <v>#REF!</v>
      </c>
      <c r="CH19" t="e">
        <f>AND(#REF!,"AAAAAC7vTFU=")</f>
        <v>#REF!</v>
      </c>
      <c r="CI19" t="e">
        <f>AND(#REF!,"AAAAAC7vTFY=")</f>
        <v>#REF!</v>
      </c>
      <c r="CJ19" t="e">
        <f>AND(#REF!,"AAAAAC7vTFc=")</f>
        <v>#REF!</v>
      </c>
      <c r="CK19" t="e">
        <f>AND(#REF!,"AAAAAC7vTFg=")</f>
        <v>#REF!</v>
      </c>
      <c r="CL19" t="e">
        <f>AND(#REF!,"AAAAAC7vTFk=")</f>
        <v>#REF!</v>
      </c>
      <c r="CM19" t="e">
        <f>AND(#REF!,"AAAAAC7vTFo=")</f>
        <v>#REF!</v>
      </c>
      <c r="CN19" t="e">
        <f>AND(#REF!,"AAAAAC7vTFs=")</f>
        <v>#REF!</v>
      </c>
      <c r="CO19" t="e">
        <f>AND(#REF!,"AAAAAC7vTFw=")</f>
        <v>#REF!</v>
      </c>
      <c r="CP19" t="e">
        <f>IF(#REF!,"AAAAAC7vTF0=",0)</f>
        <v>#REF!</v>
      </c>
      <c r="CQ19" t="e">
        <f>AND(#REF!,"AAAAAC7vTF4=")</f>
        <v>#REF!</v>
      </c>
      <c r="CR19" t="e">
        <f>AND(#REF!,"AAAAAC7vTF8=")</f>
        <v>#REF!</v>
      </c>
      <c r="CS19" t="e">
        <f>AND(#REF!,"AAAAAC7vTGA=")</f>
        <v>#REF!</v>
      </c>
      <c r="CT19" t="e">
        <f>AND(#REF!,"AAAAAC7vTGE=")</f>
        <v>#REF!</v>
      </c>
      <c r="CU19" t="e">
        <f>AND(#REF!,"AAAAAC7vTGI=")</f>
        <v>#REF!</v>
      </c>
      <c r="CV19" t="e">
        <f>AND(#REF!,"AAAAAC7vTGM=")</f>
        <v>#REF!</v>
      </c>
      <c r="CW19" t="e">
        <f>AND(#REF!,"AAAAAC7vTGQ=")</f>
        <v>#REF!</v>
      </c>
      <c r="CX19" t="e">
        <f>AND(#REF!,"AAAAAC7vTGU=")</f>
        <v>#REF!</v>
      </c>
      <c r="CY19" t="e">
        <f>AND(#REF!,"AAAAAC7vTGY=")</f>
        <v>#REF!</v>
      </c>
      <c r="CZ19" t="e">
        <f>AND(#REF!,"AAAAAC7vTGc=")</f>
        <v>#REF!</v>
      </c>
      <c r="DA19" t="e">
        <f>AND(#REF!,"AAAAAC7vTGg=")</f>
        <v>#REF!</v>
      </c>
      <c r="DB19" t="e">
        <f>IF(#REF!,"AAAAAC7vTGk=",0)</f>
        <v>#REF!</v>
      </c>
      <c r="DC19" t="e">
        <f>AND(#REF!,"AAAAAC7vTGo=")</f>
        <v>#REF!</v>
      </c>
      <c r="DD19" t="e">
        <f>AND(#REF!,"AAAAAC7vTGs=")</f>
        <v>#REF!</v>
      </c>
      <c r="DE19" t="e">
        <f>AND(#REF!,"AAAAAC7vTGw=")</f>
        <v>#REF!</v>
      </c>
      <c r="DF19" t="e">
        <f>AND(#REF!,"AAAAAC7vTG0=")</f>
        <v>#REF!</v>
      </c>
      <c r="DG19" t="e">
        <f>AND(#REF!,"AAAAAC7vTG4=")</f>
        <v>#REF!</v>
      </c>
      <c r="DH19" t="e">
        <f>AND(#REF!,"AAAAAC7vTG8=")</f>
        <v>#REF!</v>
      </c>
      <c r="DI19" t="e">
        <f>AND(#REF!,"AAAAAC7vTHA=")</f>
        <v>#REF!</v>
      </c>
      <c r="DJ19" t="e">
        <f>AND(#REF!,"AAAAAC7vTHE=")</f>
        <v>#REF!</v>
      </c>
      <c r="DK19" t="e">
        <f>AND(#REF!,"AAAAAC7vTHI=")</f>
        <v>#REF!</v>
      </c>
      <c r="DL19" t="e">
        <f>AND(#REF!,"AAAAAC7vTHM=")</f>
        <v>#REF!</v>
      </c>
      <c r="DM19" t="e">
        <f>AND(#REF!,"AAAAAC7vTHQ=")</f>
        <v>#REF!</v>
      </c>
      <c r="DN19" t="e">
        <f>IF(#REF!,"AAAAAC7vTHU=",0)</f>
        <v>#REF!</v>
      </c>
      <c r="DO19" t="e">
        <f>AND(#REF!,"AAAAAC7vTHY=")</f>
        <v>#REF!</v>
      </c>
      <c r="DP19" t="e">
        <f>AND(#REF!,"AAAAAC7vTHc=")</f>
        <v>#REF!</v>
      </c>
      <c r="DQ19" t="e">
        <f>AND(#REF!,"AAAAAC7vTHg=")</f>
        <v>#REF!</v>
      </c>
      <c r="DR19" t="e">
        <f>AND(#REF!,"AAAAAC7vTHk=")</f>
        <v>#REF!</v>
      </c>
      <c r="DS19" t="e">
        <f>AND(#REF!,"AAAAAC7vTHo=")</f>
        <v>#REF!</v>
      </c>
      <c r="DT19" t="e">
        <f>AND(#REF!,"AAAAAC7vTHs=")</f>
        <v>#REF!</v>
      </c>
      <c r="DU19" t="e">
        <f>AND(#REF!,"AAAAAC7vTHw=")</f>
        <v>#REF!</v>
      </c>
      <c r="DV19" t="e">
        <f>AND(#REF!,"AAAAAC7vTH0=")</f>
        <v>#REF!</v>
      </c>
      <c r="DW19" t="e">
        <f>AND(#REF!,"AAAAAC7vTH4=")</f>
        <v>#REF!</v>
      </c>
      <c r="DX19" t="e">
        <f>AND(#REF!,"AAAAAC7vTH8=")</f>
        <v>#REF!</v>
      </c>
      <c r="DY19" t="e">
        <f>AND(#REF!,"AAAAAC7vTIA=")</f>
        <v>#REF!</v>
      </c>
      <c r="DZ19" t="e">
        <f>IF(#REF!,"AAAAAC7vTIE=",0)</f>
        <v>#REF!</v>
      </c>
      <c r="EA19" t="e">
        <f>AND(#REF!,"AAAAAC7vTII=")</f>
        <v>#REF!</v>
      </c>
      <c r="EB19" t="e">
        <f>AND(#REF!,"AAAAAC7vTIM=")</f>
        <v>#REF!</v>
      </c>
      <c r="EC19" t="e">
        <f>AND(#REF!,"AAAAAC7vTIQ=")</f>
        <v>#REF!</v>
      </c>
      <c r="ED19" t="e">
        <f>AND(#REF!,"AAAAAC7vTIU=")</f>
        <v>#REF!</v>
      </c>
      <c r="EE19" t="e">
        <f>AND(#REF!,"AAAAAC7vTIY=")</f>
        <v>#REF!</v>
      </c>
      <c r="EF19" t="e">
        <f>AND(#REF!,"AAAAAC7vTIc=")</f>
        <v>#REF!</v>
      </c>
      <c r="EG19" t="e">
        <f>AND(#REF!,"AAAAAC7vTIg=")</f>
        <v>#REF!</v>
      </c>
      <c r="EH19" t="e">
        <f>AND(#REF!,"AAAAAC7vTIk=")</f>
        <v>#REF!</v>
      </c>
      <c r="EI19" t="e">
        <f>AND(#REF!,"AAAAAC7vTIo=")</f>
        <v>#REF!</v>
      </c>
      <c r="EJ19" t="e">
        <f>AND(#REF!,"AAAAAC7vTIs=")</f>
        <v>#REF!</v>
      </c>
      <c r="EK19" t="e">
        <f>AND(#REF!,"AAAAAC7vTIw=")</f>
        <v>#REF!</v>
      </c>
      <c r="EL19" t="e">
        <f>IF(#REF!,"AAAAAC7vTI0=",0)</f>
        <v>#REF!</v>
      </c>
      <c r="EM19" t="e">
        <f>AND(#REF!,"AAAAAC7vTI4=")</f>
        <v>#REF!</v>
      </c>
      <c r="EN19" t="e">
        <f>AND(#REF!,"AAAAAC7vTI8=")</f>
        <v>#REF!</v>
      </c>
      <c r="EO19" t="e">
        <f>AND(#REF!,"AAAAAC7vTJA=")</f>
        <v>#REF!</v>
      </c>
      <c r="EP19" t="e">
        <f>AND(#REF!,"AAAAAC7vTJE=")</f>
        <v>#REF!</v>
      </c>
      <c r="EQ19" t="e">
        <f>AND(#REF!,"AAAAAC7vTJI=")</f>
        <v>#REF!</v>
      </c>
      <c r="ER19" t="e">
        <f>AND(#REF!,"AAAAAC7vTJM=")</f>
        <v>#REF!</v>
      </c>
      <c r="ES19" t="e">
        <f>AND(#REF!,"AAAAAC7vTJQ=")</f>
        <v>#REF!</v>
      </c>
      <c r="ET19" t="e">
        <f>AND(#REF!,"AAAAAC7vTJU=")</f>
        <v>#REF!</v>
      </c>
      <c r="EU19" t="e">
        <f>AND(#REF!,"AAAAAC7vTJY=")</f>
        <v>#REF!</v>
      </c>
      <c r="EV19" t="e">
        <f>AND(#REF!,"AAAAAC7vTJc=")</f>
        <v>#REF!</v>
      </c>
      <c r="EW19" t="e">
        <f>AND(#REF!,"AAAAAC7vTJg=")</f>
        <v>#REF!</v>
      </c>
      <c r="EX19" t="e">
        <f>IF(#REF!,"AAAAAC7vTJk=",0)</f>
        <v>#REF!</v>
      </c>
      <c r="EY19" t="e">
        <f>AND(#REF!,"AAAAAC7vTJo=")</f>
        <v>#REF!</v>
      </c>
      <c r="EZ19" t="e">
        <f>AND(#REF!,"AAAAAC7vTJs=")</f>
        <v>#REF!</v>
      </c>
      <c r="FA19" t="e">
        <f>AND(#REF!,"AAAAAC7vTJw=")</f>
        <v>#REF!</v>
      </c>
      <c r="FB19" t="e">
        <f>AND(#REF!,"AAAAAC7vTJ0=")</f>
        <v>#REF!</v>
      </c>
      <c r="FC19" t="e">
        <f>AND(#REF!,"AAAAAC7vTJ4=")</f>
        <v>#REF!</v>
      </c>
      <c r="FD19" t="e">
        <f>AND(#REF!,"AAAAAC7vTJ8=")</f>
        <v>#REF!</v>
      </c>
      <c r="FE19" t="e">
        <f>AND(#REF!,"AAAAAC7vTKA=")</f>
        <v>#REF!</v>
      </c>
      <c r="FF19" t="e">
        <f>AND(#REF!,"AAAAAC7vTKE=")</f>
        <v>#REF!</v>
      </c>
      <c r="FG19" t="e">
        <f>AND(#REF!,"AAAAAC7vTKI=")</f>
        <v>#REF!</v>
      </c>
      <c r="FH19" t="e">
        <f>AND(#REF!,"AAAAAC7vTKM=")</f>
        <v>#REF!</v>
      </c>
      <c r="FI19" t="e">
        <f>AND(#REF!,"AAAAAC7vTKQ=")</f>
        <v>#REF!</v>
      </c>
      <c r="FJ19" t="e">
        <f>IF(#REF!,"AAAAAC7vTKU=",0)</f>
        <v>#REF!</v>
      </c>
      <c r="FK19" t="e">
        <f>AND(#REF!,"AAAAAC7vTKY=")</f>
        <v>#REF!</v>
      </c>
      <c r="FL19" t="e">
        <f>AND(#REF!,"AAAAAC7vTKc=")</f>
        <v>#REF!</v>
      </c>
      <c r="FM19" t="e">
        <f>AND(#REF!,"AAAAAC7vTKg=")</f>
        <v>#REF!</v>
      </c>
      <c r="FN19" t="e">
        <f>AND(#REF!,"AAAAAC7vTKk=")</f>
        <v>#REF!</v>
      </c>
      <c r="FO19" t="e">
        <f>AND(#REF!,"AAAAAC7vTKo=")</f>
        <v>#REF!</v>
      </c>
      <c r="FP19" t="e">
        <f>AND(#REF!,"AAAAAC7vTKs=")</f>
        <v>#REF!</v>
      </c>
      <c r="FQ19" t="e">
        <f>AND(#REF!,"AAAAAC7vTKw=")</f>
        <v>#REF!</v>
      </c>
      <c r="FR19" t="e">
        <f>AND(#REF!,"AAAAAC7vTK0=")</f>
        <v>#REF!</v>
      </c>
      <c r="FS19" t="e">
        <f>AND(#REF!,"AAAAAC7vTK4=")</f>
        <v>#REF!</v>
      </c>
      <c r="FT19" t="e">
        <f>AND(#REF!,"AAAAAC7vTK8=")</f>
        <v>#REF!</v>
      </c>
      <c r="FU19" t="e">
        <f>AND(#REF!,"AAAAAC7vTLA=")</f>
        <v>#REF!</v>
      </c>
      <c r="FV19" t="e">
        <f>IF(#REF!,"AAAAAC7vTLE=",0)</f>
        <v>#REF!</v>
      </c>
      <c r="FW19" t="e">
        <f>AND(#REF!,"AAAAAC7vTLI=")</f>
        <v>#REF!</v>
      </c>
      <c r="FX19" t="e">
        <f>AND(#REF!,"AAAAAC7vTLM=")</f>
        <v>#REF!</v>
      </c>
      <c r="FY19" t="e">
        <f>AND(#REF!,"AAAAAC7vTLQ=")</f>
        <v>#REF!</v>
      </c>
      <c r="FZ19" t="e">
        <f>AND(#REF!,"AAAAAC7vTLU=")</f>
        <v>#REF!</v>
      </c>
      <c r="GA19" t="e">
        <f>AND(#REF!,"AAAAAC7vTLY=")</f>
        <v>#REF!</v>
      </c>
      <c r="GB19" t="e">
        <f>AND(#REF!,"AAAAAC7vTLc=")</f>
        <v>#REF!</v>
      </c>
      <c r="GC19" t="e">
        <f>AND(#REF!,"AAAAAC7vTLg=")</f>
        <v>#REF!</v>
      </c>
      <c r="GD19" t="e">
        <f>AND(#REF!,"AAAAAC7vTLk=")</f>
        <v>#REF!</v>
      </c>
      <c r="GE19" t="e">
        <f>AND(#REF!,"AAAAAC7vTLo=")</f>
        <v>#REF!</v>
      </c>
      <c r="GF19" t="e">
        <f>AND(#REF!,"AAAAAC7vTLs=")</f>
        <v>#REF!</v>
      </c>
      <c r="GG19" t="e">
        <f>AND(#REF!,"AAAAAC7vTLw=")</f>
        <v>#REF!</v>
      </c>
      <c r="GH19" t="e">
        <f>IF(#REF!,"AAAAAC7vTL0=",0)</f>
        <v>#REF!</v>
      </c>
      <c r="GI19" t="e">
        <f>AND(#REF!,"AAAAAC7vTL4=")</f>
        <v>#REF!</v>
      </c>
      <c r="GJ19" t="e">
        <f>AND(#REF!,"AAAAAC7vTL8=")</f>
        <v>#REF!</v>
      </c>
      <c r="GK19" t="e">
        <f>AND(#REF!,"AAAAAC7vTMA=")</f>
        <v>#REF!</v>
      </c>
      <c r="GL19" t="e">
        <f>AND(#REF!,"AAAAAC7vTME=")</f>
        <v>#REF!</v>
      </c>
      <c r="GM19" t="e">
        <f>AND(#REF!,"AAAAAC7vTMI=")</f>
        <v>#REF!</v>
      </c>
      <c r="GN19" t="e">
        <f>AND(#REF!,"AAAAAC7vTMM=")</f>
        <v>#REF!</v>
      </c>
      <c r="GO19" t="e">
        <f>AND(#REF!,"AAAAAC7vTMQ=")</f>
        <v>#REF!</v>
      </c>
      <c r="GP19" t="e">
        <f>AND(#REF!,"AAAAAC7vTMU=")</f>
        <v>#REF!</v>
      </c>
      <c r="GQ19" t="e">
        <f>AND(#REF!,"AAAAAC7vTMY=")</f>
        <v>#REF!</v>
      </c>
      <c r="GR19" t="e">
        <f>AND(#REF!,"AAAAAC7vTMc=")</f>
        <v>#REF!</v>
      </c>
      <c r="GS19" t="e">
        <f>AND(#REF!,"AAAAAC7vTMg=")</f>
        <v>#REF!</v>
      </c>
      <c r="GT19" t="e">
        <f>IF(#REF!,"AAAAAC7vTMk=",0)</f>
        <v>#REF!</v>
      </c>
      <c r="GU19" t="e">
        <f>AND(#REF!,"AAAAAC7vTMo=")</f>
        <v>#REF!</v>
      </c>
      <c r="GV19" t="e">
        <f>AND(#REF!,"AAAAAC7vTMs=")</f>
        <v>#REF!</v>
      </c>
      <c r="GW19" t="e">
        <f>AND(#REF!,"AAAAAC7vTMw=")</f>
        <v>#REF!</v>
      </c>
      <c r="GX19" t="e">
        <f>AND(#REF!,"AAAAAC7vTM0=")</f>
        <v>#REF!</v>
      </c>
      <c r="GY19" t="e">
        <f>AND(#REF!,"AAAAAC7vTM4=")</f>
        <v>#REF!</v>
      </c>
      <c r="GZ19" t="e">
        <f>AND(#REF!,"AAAAAC7vTM8=")</f>
        <v>#REF!</v>
      </c>
      <c r="HA19" t="e">
        <f>AND(#REF!,"AAAAAC7vTNA=")</f>
        <v>#REF!</v>
      </c>
      <c r="HB19" t="e">
        <f>AND(#REF!,"AAAAAC7vTNE=")</f>
        <v>#REF!</v>
      </c>
      <c r="HC19" t="e">
        <f>AND(#REF!,"AAAAAC7vTNI=")</f>
        <v>#REF!</v>
      </c>
      <c r="HD19" t="e">
        <f>AND(#REF!,"AAAAAC7vTNM=")</f>
        <v>#REF!</v>
      </c>
      <c r="HE19" t="e">
        <f>AND(#REF!,"AAAAAC7vTNQ=")</f>
        <v>#REF!</v>
      </c>
      <c r="HF19" t="e">
        <f>IF(#REF!,"AAAAAC7vTNU=",0)</f>
        <v>#REF!</v>
      </c>
      <c r="HG19" t="e">
        <f>AND(#REF!,"AAAAAC7vTNY=")</f>
        <v>#REF!</v>
      </c>
      <c r="HH19" t="e">
        <f>AND(#REF!,"AAAAAC7vTNc=")</f>
        <v>#REF!</v>
      </c>
      <c r="HI19" t="e">
        <f>AND(#REF!,"AAAAAC7vTNg=")</f>
        <v>#REF!</v>
      </c>
      <c r="HJ19" t="e">
        <f>AND(#REF!,"AAAAAC7vTNk=")</f>
        <v>#REF!</v>
      </c>
      <c r="HK19" t="e">
        <f>AND(#REF!,"AAAAAC7vTNo=")</f>
        <v>#REF!</v>
      </c>
      <c r="HL19" t="e">
        <f>AND(#REF!,"AAAAAC7vTNs=")</f>
        <v>#REF!</v>
      </c>
      <c r="HM19" t="e">
        <f>AND(#REF!,"AAAAAC7vTNw=")</f>
        <v>#REF!</v>
      </c>
      <c r="HN19" t="e">
        <f>AND(#REF!,"AAAAAC7vTN0=")</f>
        <v>#REF!</v>
      </c>
      <c r="HO19" t="e">
        <f>AND(#REF!,"AAAAAC7vTN4=")</f>
        <v>#REF!</v>
      </c>
      <c r="HP19" t="e">
        <f>AND(#REF!,"AAAAAC7vTN8=")</f>
        <v>#REF!</v>
      </c>
      <c r="HQ19" t="e">
        <f>AND(#REF!,"AAAAAC7vTOA=")</f>
        <v>#REF!</v>
      </c>
      <c r="HR19" t="e">
        <f>IF(#REF!,"AAAAAC7vTOE=",0)</f>
        <v>#REF!</v>
      </c>
      <c r="HS19" t="e">
        <f>AND(#REF!,"AAAAAC7vTOI=")</f>
        <v>#REF!</v>
      </c>
      <c r="HT19" t="e">
        <f>AND(#REF!,"AAAAAC7vTOM=")</f>
        <v>#REF!</v>
      </c>
      <c r="HU19" t="e">
        <f>AND(#REF!,"AAAAAC7vTOQ=")</f>
        <v>#REF!</v>
      </c>
      <c r="HV19" t="e">
        <f>AND(#REF!,"AAAAAC7vTOU=")</f>
        <v>#REF!</v>
      </c>
      <c r="HW19" t="e">
        <f>AND(#REF!,"AAAAAC7vTOY=")</f>
        <v>#REF!</v>
      </c>
      <c r="HX19" t="e">
        <f>AND(#REF!,"AAAAAC7vTOc=")</f>
        <v>#REF!</v>
      </c>
      <c r="HY19" t="e">
        <f>AND(#REF!,"AAAAAC7vTOg=")</f>
        <v>#REF!</v>
      </c>
      <c r="HZ19" t="e">
        <f>AND(#REF!,"AAAAAC7vTOk=")</f>
        <v>#REF!</v>
      </c>
      <c r="IA19" t="e">
        <f>AND(#REF!,"AAAAAC7vTOo=")</f>
        <v>#REF!</v>
      </c>
      <c r="IB19" t="e">
        <f>AND(#REF!,"AAAAAC7vTOs=")</f>
        <v>#REF!</v>
      </c>
      <c r="IC19" t="e">
        <f>AND(#REF!,"AAAAAC7vTOw=")</f>
        <v>#REF!</v>
      </c>
      <c r="ID19" t="e">
        <f>IF(#REF!,"AAAAAC7vTO0=",0)</f>
        <v>#REF!</v>
      </c>
      <c r="IE19" t="e">
        <f>AND(#REF!,"AAAAAC7vTO4=")</f>
        <v>#REF!</v>
      </c>
      <c r="IF19" t="e">
        <f>AND(#REF!,"AAAAAC7vTO8=")</f>
        <v>#REF!</v>
      </c>
      <c r="IG19" t="e">
        <f>AND(#REF!,"AAAAAC7vTPA=")</f>
        <v>#REF!</v>
      </c>
      <c r="IH19" t="e">
        <f>AND(#REF!,"AAAAAC7vTPE=")</f>
        <v>#REF!</v>
      </c>
      <c r="II19" t="e">
        <f>AND(#REF!,"AAAAAC7vTPI=")</f>
        <v>#REF!</v>
      </c>
      <c r="IJ19" t="e">
        <f>AND(#REF!,"AAAAAC7vTPM=")</f>
        <v>#REF!</v>
      </c>
      <c r="IK19" t="e">
        <f>AND(#REF!,"AAAAAC7vTPQ=")</f>
        <v>#REF!</v>
      </c>
      <c r="IL19" t="e">
        <f>AND(#REF!,"AAAAAC7vTPU=")</f>
        <v>#REF!</v>
      </c>
      <c r="IM19" t="e">
        <f>AND(#REF!,"AAAAAC7vTPY=")</f>
        <v>#REF!</v>
      </c>
      <c r="IN19" t="e">
        <f>AND(#REF!,"AAAAAC7vTPc=")</f>
        <v>#REF!</v>
      </c>
      <c r="IO19" t="e">
        <f>AND(#REF!,"AAAAAC7vTPg=")</f>
        <v>#REF!</v>
      </c>
      <c r="IP19" t="e">
        <f>IF(#REF!,"AAAAAC7vTPk=",0)</f>
        <v>#REF!</v>
      </c>
      <c r="IQ19" t="e">
        <f>AND(#REF!,"AAAAAC7vTPo=")</f>
        <v>#REF!</v>
      </c>
      <c r="IR19" t="e">
        <f>AND(#REF!,"AAAAAC7vTPs=")</f>
        <v>#REF!</v>
      </c>
      <c r="IS19" t="e">
        <f>AND(#REF!,"AAAAAC7vTPw=")</f>
        <v>#REF!</v>
      </c>
      <c r="IT19" t="e">
        <f>AND(#REF!,"AAAAAC7vTP0=")</f>
        <v>#REF!</v>
      </c>
      <c r="IU19" t="e">
        <f>AND(#REF!,"AAAAAC7vTP4=")</f>
        <v>#REF!</v>
      </c>
      <c r="IV19" t="e">
        <f>AND(#REF!,"AAAAAC7vTP8=")</f>
        <v>#REF!</v>
      </c>
    </row>
    <row r="20" spans="1:256">
      <c r="A20" t="e">
        <f>AND(#REF!,"AAAAAHv/cAA=")</f>
        <v>#REF!</v>
      </c>
      <c r="B20" t="e">
        <f>AND(#REF!,"AAAAAHv/cAE=")</f>
        <v>#REF!</v>
      </c>
      <c r="C20" t="e">
        <f>AND(#REF!,"AAAAAHv/cAI=")</f>
        <v>#REF!</v>
      </c>
      <c r="D20" t="e">
        <f>AND(#REF!,"AAAAAHv/cAM=")</f>
        <v>#REF!</v>
      </c>
      <c r="E20" t="e">
        <f>AND(#REF!,"AAAAAHv/cAQ=")</f>
        <v>#REF!</v>
      </c>
      <c r="F20" t="e">
        <f>IF(#REF!,"AAAAAHv/cAU=",0)</f>
        <v>#REF!</v>
      </c>
      <c r="G20" t="e">
        <f>AND(#REF!,"AAAAAHv/cAY=")</f>
        <v>#REF!</v>
      </c>
      <c r="H20" t="e">
        <f>AND(#REF!,"AAAAAHv/cAc=")</f>
        <v>#REF!</v>
      </c>
      <c r="I20" t="e">
        <f>AND(#REF!,"AAAAAHv/cAg=")</f>
        <v>#REF!</v>
      </c>
      <c r="J20" t="e">
        <f>AND(#REF!,"AAAAAHv/cAk=")</f>
        <v>#REF!</v>
      </c>
      <c r="K20" t="e">
        <f>AND(#REF!,"AAAAAHv/cAo=")</f>
        <v>#REF!</v>
      </c>
      <c r="L20" t="e">
        <f>AND(#REF!,"AAAAAHv/cAs=")</f>
        <v>#REF!</v>
      </c>
      <c r="M20" t="e">
        <f>AND(#REF!,"AAAAAHv/cAw=")</f>
        <v>#REF!</v>
      </c>
      <c r="N20" t="e">
        <f>AND(#REF!,"AAAAAHv/cA0=")</f>
        <v>#REF!</v>
      </c>
      <c r="O20" t="e">
        <f>AND(#REF!,"AAAAAHv/cA4=")</f>
        <v>#REF!</v>
      </c>
      <c r="P20" t="e">
        <f>AND(#REF!,"AAAAAHv/cA8=")</f>
        <v>#REF!</v>
      </c>
      <c r="Q20" t="e">
        <f>AND(#REF!,"AAAAAHv/cBA=")</f>
        <v>#REF!</v>
      </c>
      <c r="R20" t="e">
        <f>IF(#REF!,"AAAAAHv/cBE=",0)</f>
        <v>#REF!</v>
      </c>
      <c r="S20" t="e">
        <f>AND(#REF!,"AAAAAHv/cBI=")</f>
        <v>#REF!</v>
      </c>
      <c r="T20" t="e">
        <f>AND(#REF!,"AAAAAHv/cBM=")</f>
        <v>#REF!</v>
      </c>
      <c r="U20" t="e">
        <f>AND(#REF!,"AAAAAHv/cBQ=")</f>
        <v>#REF!</v>
      </c>
      <c r="V20" t="e">
        <f>AND(#REF!,"AAAAAHv/cBU=")</f>
        <v>#REF!</v>
      </c>
      <c r="W20" t="e">
        <f>AND(#REF!,"AAAAAHv/cBY=")</f>
        <v>#REF!</v>
      </c>
      <c r="X20" t="e">
        <f>AND(#REF!,"AAAAAHv/cBc=")</f>
        <v>#REF!</v>
      </c>
      <c r="Y20" t="e">
        <f>AND(#REF!,"AAAAAHv/cBg=")</f>
        <v>#REF!</v>
      </c>
      <c r="Z20" t="e">
        <f>AND(#REF!,"AAAAAHv/cBk=")</f>
        <v>#REF!</v>
      </c>
      <c r="AA20" t="e">
        <f>AND(#REF!,"AAAAAHv/cBo=")</f>
        <v>#REF!</v>
      </c>
      <c r="AB20" t="e">
        <f>AND(#REF!,"AAAAAHv/cBs=")</f>
        <v>#REF!</v>
      </c>
      <c r="AC20" t="e">
        <f>AND(#REF!,"AAAAAHv/cBw=")</f>
        <v>#REF!</v>
      </c>
      <c r="AD20" t="e">
        <f>IF(#REF!,"AAAAAHv/cB0=",0)</f>
        <v>#REF!</v>
      </c>
      <c r="AE20" t="e">
        <f>AND(#REF!,"AAAAAHv/cB4=")</f>
        <v>#REF!</v>
      </c>
      <c r="AF20" t="e">
        <f>AND(#REF!,"AAAAAHv/cB8=")</f>
        <v>#REF!</v>
      </c>
      <c r="AG20" t="e">
        <f>AND(#REF!,"AAAAAHv/cCA=")</f>
        <v>#REF!</v>
      </c>
      <c r="AH20" t="e">
        <f>AND(#REF!,"AAAAAHv/cCE=")</f>
        <v>#REF!</v>
      </c>
      <c r="AI20" t="e">
        <f>AND(#REF!,"AAAAAHv/cCI=")</f>
        <v>#REF!</v>
      </c>
      <c r="AJ20" t="e">
        <f>AND(#REF!,"AAAAAHv/cCM=")</f>
        <v>#REF!</v>
      </c>
      <c r="AK20" t="e">
        <f>AND(#REF!,"AAAAAHv/cCQ=")</f>
        <v>#REF!</v>
      </c>
      <c r="AL20" t="e">
        <f>AND(#REF!,"AAAAAHv/cCU=")</f>
        <v>#REF!</v>
      </c>
      <c r="AM20" t="e">
        <f>AND(#REF!,"AAAAAHv/cCY=")</f>
        <v>#REF!</v>
      </c>
      <c r="AN20" t="e">
        <f>AND(#REF!,"AAAAAHv/cCc=")</f>
        <v>#REF!</v>
      </c>
      <c r="AO20" t="e">
        <f>AND(#REF!,"AAAAAHv/cCg=")</f>
        <v>#REF!</v>
      </c>
      <c r="AP20" t="e">
        <f>IF(#REF!,"AAAAAHv/cCk=",0)</f>
        <v>#REF!</v>
      </c>
      <c r="AQ20" t="e">
        <f>AND(#REF!,"AAAAAHv/cCo=")</f>
        <v>#REF!</v>
      </c>
      <c r="AR20" t="e">
        <f>AND(#REF!,"AAAAAHv/cCs=")</f>
        <v>#REF!</v>
      </c>
      <c r="AS20" t="e">
        <f>AND(#REF!,"AAAAAHv/cCw=")</f>
        <v>#REF!</v>
      </c>
      <c r="AT20" t="e">
        <f>AND(#REF!,"AAAAAHv/cC0=")</f>
        <v>#REF!</v>
      </c>
      <c r="AU20" t="e">
        <f>AND(#REF!,"AAAAAHv/cC4=")</f>
        <v>#REF!</v>
      </c>
      <c r="AV20" t="e">
        <f>AND(#REF!,"AAAAAHv/cC8=")</f>
        <v>#REF!</v>
      </c>
      <c r="AW20" t="e">
        <f>AND(#REF!,"AAAAAHv/cDA=")</f>
        <v>#REF!</v>
      </c>
      <c r="AX20" t="e">
        <f>AND(#REF!,"AAAAAHv/cDE=")</f>
        <v>#REF!</v>
      </c>
      <c r="AY20" t="e">
        <f>AND(#REF!,"AAAAAHv/cDI=")</f>
        <v>#REF!</v>
      </c>
      <c r="AZ20" t="e">
        <f>AND(#REF!,"AAAAAHv/cDM=")</f>
        <v>#REF!</v>
      </c>
      <c r="BA20" t="e">
        <f>AND(#REF!,"AAAAAHv/cDQ=")</f>
        <v>#REF!</v>
      </c>
      <c r="BB20" t="e">
        <f>IF(#REF!,"AAAAAHv/cDU=",0)</f>
        <v>#REF!</v>
      </c>
      <c r="BC20" t="e">
        <f>AND(#REF!,"AAAAAHv/cDY=")</f>
        <v>#REF!</v>
      </c>
      <c r="BD20" t="e">
        <f>AND(#REF!,"AAAAAHv/cDc=")</f>
        <v>#REF!</v>
      </c>
      <c r="BE20" t="e">
        <f>AND(#REF!,"AAAAAHv/cDg=")</f>
        <v>#REF!</v>
      </c>
      <c r="BF20" t="e">
        <f>AND(#REF!,"AAAAAHv/cDk=")</f>
        <v>#REF!</v>
      </c>
      <c r="BG20" t="e">
        <f>AND(#REF!,"AAAAAHv/cDo=")</f>
        <v>#REF!</v>
      </c>
      <c r="BH20" t="e">
        <f>AND(#REF!,"AAAAAHv/cDs=")</f>
        <v>#REF!</v>
      </c>
      <c r="BI20" t="e">
        <f>AND(#REF!,"AAAAAHv/cDw=")</f>
        <v>#REF!</v>
      </c>
      <c r="BJ20" t="e">
        <f>AND(#REF!,"AAAAAHv/cD0=")</f>
        <v>#REF!</v>
      </c>
      <c r="BK20" t="e">
        <f>AND(#REF!,"AAAAAHv/cD4=")</f>
        <v>#REF!</v>
      </c>
      <c r="BL20" t="e">
        <f>AND(#REF!,"AAAAAHv/cD8=")</f>
        <v>#REF!</v>
      </c>
      <c r="BM20" t="e">
        <f>AND(#REF!,"AAAAAHv/cEA=")</f>
        <v>#REF!</v>
      </c>
      <c r="BN20" t="e">
        <f>IF(#REF!,"AAAAAHv/cEE=",0)</f>
        <v>#REF!</v>
      </c>
      <c r="BO20" t="e">
        <f>AND(#REF!,"AAAAAHv/cEI=")</f>
        <v>#REF!</v>
      </c>
      <c r="BP20" t="e">
        <f>AND(#REF!,"AAAAAHv/cEM=")</f>
        <v>#REF!</v>
      </c>
      <c r="BQ20" t="e">
        <f>AND(#REF!,"AAAAAHv/cEQ=")</f>
        <v>#REF!</v>
      </c>
      <c r="BR20" t="e">
        <f>AND(#REF!,"AAAAAHv/cEU=")</f>
        <v>#REF!</v>
      </c>
      <c r="BS20" t="e">
        <f>AND(#REF!,"AAAAAHv/cEY=")</f>
        <v>#REF!</v>
      </c>
      <c r="BT20" t="e">
        <f>AND(#REF!,"AAAAAHv/cEc=")</f>
        <v>#REF!</v>
      </c>
      <c r="BU20" t="e">
        <f>AND(#REF!,"AAAAAHv/cEg=")</f>
        <v>#REF!</v>
      </c>
      <c r="BV20" t="e">
        <f>AND(#REF!,"AAAAAHv/cEk=")</f>
        <v>#REF!</v>
      </c>
      <c r="BW20" t="e">
        <f>AND(#REF!,"AAAAAHv/cEo=")</f>
        <v>#REF!</v>
      </c>
      <c r="BX20" t="e">
        <f>AND(#REF!,"AAAAAHv/cEs=")</f>
        <v>#REF!</v>
      </c>
      <c r="BY20" t="e">
        <f>AND(#REF!,"AAAAAHv/cEw=")</f>
        <v>#REF!</v>
      </c>
      <c r="BZ20" t="e">
        <f>IF(#REF!,"AAAAAHv/cE0=",0)</f>
        <v>#REF!</v>
      </c>
      <c r="CA20" t="e">
        <f>AND(#REF!,"AAAAAHv/cE4=")</f>
        <v>#REF!</v>
      </c>
      <c r="CB20" t="e">
        <f>AND(#REF!,"AAAAAHv/cE8=")</f>
        <v>#REF!</v>
      </c>
      <c r="CC20" t="e">
        <f>AND(#REF!,"AAAAAHv/cFA=")</f>
        <v>#REF!</v>
      </c>
      <c r="CD20" t="e">
        <f>AND(#REF!,"AAAAAHv/cFE=")</f>
        <v>#REF!</v>
      </c>
      <c r="CE20" t="e">
        <f>AND(#REF!,"AAAAAHv/cFI=")</f>
        <v>#REF!</v>
      </c>
      <c r="CF20" t="e">
        <f>AND(#REF!,"AAAAAHv/cFM=")</f>
        <v>#REF!</v>
      </c>
      <c r="CG20" t="e">
        <f>AND(#REF!,"AAAAAHv/cFQ=")</f>
        <v>#REF!</v>
      </c>
      <c r="CH20" t="e">
        <f>AND(#REF!,"AAAAAHv/cFU=")</f>
        <v>#REF!</v>
      </c>
      <c r="CI20" t="e">
        <f>AND(#REF!,"AAAAAHv/cFY=")</f>
        <v>#REF!</v>
      </c>
      <c r="CJ20" t="e">
        <f>AND(#REF!,"AAAAAHv/cFc=")</f>
        <v>#REF!</v>
      </c>
      <c r="CK20" t="e">
        <f>AND(#REF!,"AAAAAHv/cFg=")</f>
        <v>#REF!</v>
      </c>
      <c r="CL20" t="e">
        <f>IF(#REF!,"AAAAAHv/cFk=",0)</f>
        <v>#REF!</v>
      </c>
      <c r="CM20" t="e">
        <f>AND(#REF!,"AAAAAHv/cFo=")</f>
        <v>#REF!</v>
      </c>
      <c r="CN20" t="e">
        <f>AND(#REF!,"AAAAAHv/cFs=")</f>
        <v>#REF!</v>
      </c>
      <c r="CO20" t="e">
        <f>AND(#REF!,"AAAAAHv/cFw=")</f>
        <v>#REF!</v>
      </c>
      <c r="CP20" t="e">
        <f>AND(#REF!,"AAAAAHv/cF0=")</f>
        <v>#REF!</v>
      </c>
      <c r="CQ20" t="e">
        <f>AND(#REF!,"AAAAAHv/cF4=")</f>
        <v>#REF!</v>
      </c>
      <c r="CR20" t="e">
        <f>AND(#REF!,"AAAAAHv/cF8=")</f>
        <v>#REF!</v>
      </c>
      <c r="CS20" t="e">
        <f>AND(#REF!,"AAAAAHv/cGA=")</f>
        <v>#REF!</v>
      </c>
      <c r="CT20" t="e">
        <f>AND(#REF!,"AAAAAHv/cGE=")</f>
        <v>#REF!</v>
      </c>
      <c r="CU20" t="e">
        <f>AND(#REF!,"AAAAAHv/cGI=")</f>
        <v>#REF!</v>
      </c>
      <c r="CV20" t="e">
        <f>AND(#REF!,"AAAAAHv/cGM=")</f>
        <v>#REF!</v>
      </c>
      <c r="CW20" t="e">
        <f>AND(#REF!,"AAAAAHv/cGQ=")</f>
        <v>#REF!</v>
      </c>
      <c r="CX20" t="e">
        <f>IF(#REF!,"AAAAAHv/cGU=",0)</f>
        <v>#REF!</v>
      </c>
      <c r="CY20" t="e">
        <f>AND(#REF!,"AAAAAHv/cGY=")</f>
        <v>#REF!</v>
      </c>
      <c r="CZ20" t="e">
        <f>AND(#REF!,"AAAAAHv/cGc=")</f>
        <v>#REF!</v>
      </c>
      <c r="DA20" t="e">
        <f>AND(#REF!,"AAAAAHv/cGg=")</f>
        <v>#REF!</v>
      </c>
      <c r="DB20" t="e">
        <f>AND(#REF!,"AAAAAHv/cGk=")</f>
        <v>#REF!</v>
      </c>
      <c r="DC20" t="e">
        <f>AND(#REF!,"AAAAAHv/cGo=")</f>
        <v>#REF!</v>
      </c>
      <c r="DD20" t="e">
        <f>AND(#REF!,"AAAAAHv/cGs=")</f>
        <v>#REF!</v>
      </c>
      <c r="DE20" t="e">
        <f>AND(#REF!,"AAAAAHv/cGw=")</f>
        <v>#REF!</v>
      </c>
      <c r="DF20" t="e">
        <f>AND(#REF!,"AAAAAHv/cG0=")</f>
        <v>#REF!</v>
      </c>
      <c r="DG20" t="e">
        <f>AND(#REF!,"AAAAAHv/cG4=")</f>
        <v>#REF!</v>
      </c>
      <c r="DH20" t="e">
        <f>AND(#REF!,"AAAAAHv/cG8=")</f>
        <v>#REF!</v>
      </c>
      <c r="DI20" t="e">
        <f>AND(#REF!,"AAAAAHv/cHA=")</f>
        <v>#REF!</v>
      </c>
      <c r="DJ20" t="e">
        <f>IF(#REF!,"AAAAAHv/cHE=",0)</f>
        <v>#REF!</v>
      </c>
      <c r="DK20" t="e">
        <f>AND(#REF!,"AAAAAHv/cHI=")</f>
        <v>#REF!</v>
      </c>
      <c r="DL20" t="e">
        <f>AND(#REF!,"AAAAAHv/cHM=")</f>
        <v>#REF!</v>
      </c>
      <c r="DM20" t="e">
        <f>AND(#REF!,"AAAAAHv/cHQ=")</f>
        <v>#REF!</v>
      </c>
      <c r="DN20" t="e">
        <f>AND(#REF!,"AAAAAHv/cHU=")</f>
        <v>#REF!</v>
      </c>
      <c r="DO20" t="e">
        <f>AND(#REF!,"AAAAAHv/cHY=")</f>
        <v>#REF!</v>
      </c>
      <c r="DP20" t="e">
        <f>AND(#REF!,"AAAAAHv/cHc=")</f>
        <v>#REF!</v>
      </c>
      <c r="DQ20" t="e">
        <f>AND(#REF!,"AAAAAHv/cHg=")</f>
        <v>#REF!</v>
      </c>
      <c r="DR20" t="e">
        <f>AND(#REF!,"AAAAAHv/cHk=")</f>
        <v>#REF!</v>
      </c>
      <c r="DS20" t="e">
        <f>AND(#REF!,"AAAAAHv/cHo=")</f>
        <v>#REF!</v>
      </c>
      <c r="DT20" t="e">
        <f>AND(#REF!,"AAAAAHv/cHs=")</f>
        <v>#REF!</v>
      </c>
      <c r="DU20" t="e">
        <f>AND(#REF!,"AAAAAHv/cHw=")</f>
        <v>#REF!</v>
      </c>
      <c r="DV20" t="e">
        <f>IF(#REF!,"AAAAAHv/cH0=",0)</f>
        <v>#REF!</v>
      </c>
      <c r="DW20" t="e">
        <f>AND(#REF!,"AAAAAHv/cH4=")</f>
        <v>#REF!</v>
      </c>
      <c r="DX20" t="e">
        <f>AND(#REF!,"AAAAAHv/cH8=")</f>
        <v>#REF!</v>
      </c>
      <c r="DY20" t="e">
        <f>AND(#REF!,"AAAAAHv/cIA=")</f>
        <v>#REF!</v>
      </c>
      <c r="DZ20" t="e">
        <f>AND(#REF!,"AAAAAHv/cIE=")</f>
        <v>#REF!</v>
      </c>
      <c r="EA20" t="e">
        <f>AND(#REF!,"AAAAAHv/cII=")</f>
        <v>#REF!</v>
      </c>
      <c r="EB20" t="e">
        <f>AND(#REF!,"AAAAAHv/cIM=")</f>
        <v>#REF!</v>
      </c>
      <c r="EC20" t="e">
        <f>AND(#REF!,"AAAAAHv/cIQ=")</f>
        <v>#REF!</v>
      </c>
      <c r="ED20" t="e">
        <f>AND(#REF!,"AAAAAHv/cIU=")</f>
        <v>#REF!</v>
      </c>
      <c r="EE20" t="e">
        <f>AND(#REF!,"AAAAAHv/cIY=")</f>
        <v>#REF!</v>
      </c>
      <c r="EF20" t="e">
        <f>AND(#REF!,"AAAAAHv/cIc=")</f>
        <v>#REF!</v>
      </c>
      <c r="EG20" t="e">
        <f>AND(#REF!,"AAAAAHv/cIg=")</f>
        <v>#REF!</v>
      </c>
      <c r="EH20" t="e">
        <f>IF(#REF!,"AAAAAHv/cIk=",0)</f>
        <v>#REF!</v>
      </c>
      <c r="EI20" t="e">
        <f>AND(#REF!,"AAAAAHv/cIo=")</f>
        <v>#REF!</v>
      </c>
      <c r="EJ20" t="e">
        <f>AND(#REF!,"AAAAAHv/cIs=")</f>
        <v>#REF!</v>
      </c>
      <c r="EK20" t="e">
        <f>AND(#REF!,"AAAAAHv/cIw=")</f>
        <v>#REF!</v>
      </c>
      <c r="EL20" t="e">
        <f>AND(#REF!,"AAAAAHv/cI0=")</f>
        <v>#REF!</v>
      </c>
      <c r="EM20" t="e">
        <f>AND(#REF!,"AAAAAHv/cI4=")</f>
        <v>#REF!</v>
      </c>
      <c r="EN20" t="e">
        <f>AND(#REF!,"AAAAAHv/cI8=")</f>
        <v>#REF!</v>
      </c>
      <c r="EO20" t="e">
        <f>AND(#REF!,"AAAAAHv/cJA=")</f>
        <v>#REF!</v>
      </c>
      <c r="EP20" t="e">
        <f>AND(#REF!,"AAAAAHv/cJE=")</f>
        <v>#REF!</v>
      </c>
      <c r="EQ20" t="e">
        <f>AND(#REF!,"AAAAAHv/cJI=")</f>
        <v>#REF!</v>
      </c>
      <c r="ER20" t="e">
        <f>AND(#REF!,"AAAAAHv/cJM=")</f>
        <v>#REF!</v>
      </c>
      <c r="ES20" t="e">
        <f>AND(#REF!,"AAAAAHv/cJQ=")</f>
        <v>#REF!</v>
      </c>
      <c r="ET20" t="e">
        <f>IF(#REF!,"AAAAAHv/cJU=",0)</f>
        <v>#REF!</v>
      </c>
      <c r="EU20" t="e">
        <f>AND(#REF!,"AAAAAHv/cJY=")</f>
        <v>#REF!</v>
      </c>
      <c r="EV20" t="e">
        <f>AND(#REF!,"AAAAAHv/cJc=")</f>
        <v>#REF!</v>
      </c>
      <c r="EW20" t="e">
        <f>AND(#REF!,"AAAAAHv/cJg=")</f>
        <v>#REF!</v>
      </c>
      <c r="EX20" t="e">
        <f>AND(#REF!,"AAAAAHv/cJk=")</f>
        <v>#REF!</v>
      </c>
      <c r="EY20" t="e">
        <f>AND(#REF!,"AAAAAHv/cJo=")</f>
        <v>#REF!</v>
      </c>
      <c r="EZ20" t="e">
        <f>AND(#REF!,"AAAAAHv/cJs=")</f>
        <v>#REF!</v>
      </c>
      <c r="FA20" t="e">
        <f>AND(#REF!,"AAAAAHv/cJw=")</f>
        <v>#REF!</v>
      </c>
      <c r="FB20" t="e">
        <f>AND(#REF!,"AAAAAHv/cJ0=")</f>
        <v>#REF!</v>
      </c>
      <c r="FC20" t="e">
        <f>AND(#REF!,"AAAAAHv/cJ4=")</f>
        <v>#REF!</v>
      </c>
      <c r="FD20" t="e">
        <f>AND(#REF!,"AAAAAHv/cJ8=")</f>
        <v>#REF!</v>
      </c>
      <c r="FE20" t="e">
        <f>AND(#REF!,"AAAAAHv/cKA=")</f>
        <v>#REF!</v>
      </c>
      <c r="FF20" t="e">
        <f>IF(#REF!,"AAAAAHv/cKE=",0)</f>
        <v>#REF!</v>
      </c>
      <c r="FG20" t="e">
        <f>AND(#REF!,"AAAAAHv/cKI=")</f>
        <v>#REF!</v>
      </c>
      <c r="FH20" t="e">
        <f>AND(#REF!,"AAAAAHv/cKM=")</f>
        <v>#REF!</v>
      </c>
      <c r="FI20" t="e">
        <f>AND(#REF!,"AAAAAHv/cKQ=")</f>
        <v>#REF!</v>
      </c>
      <c r="FJ20" t="e">
        <f>AND(#REF!,"AAAAAHv/cKU=")</f>
        <v>#REF!</v>
      </c>
      <c r="FK20" t="e">
        <f>AND(#REF!,"AAAAAHv/cKY=")</f>
        <v>#REF!</v>
      </c>
      <c r="FL20" t="e">
        <f>AND(#REF!,"AAAAAHv/cKc=")</f>
        <v>#REF!</v>
      </c>
      <c r="FM20" t="e">
        <f>AND(#REF!,"AAAAAHv/cKg=")</f>
        <v>#REF!</v>
      </c>
      <c r="FN20" t="e">
        <f>AND(#REF!,"AAAAAHv/cKk=")</f>
        <v>#REF!</v>
      </c>
      <c r="FO20" t="e">
        <f>AND(#REF!,"AAAAAHv/cKo=")</f>
        <v>#REF!</v>
      </c>
      <c r="FP20" t="e">
        <f>AND(#REF!,"AAAAAHv/cKs=")</f>
        <v>#REF!</v>
      </c>
      <c r="FQ20" t="e">
        <f>AND(#REF!,"AAAAAHv/cKw=")</f>
        <v>#REF!</v>
      </c>
      <c r="FR20" t="e">
        <f>IF(#REF!,"AAAAAHv/cK0=",0)</f>
        <v>#REF!</v>
      </c>
      <c r="FS20" t="e">
        <f>AND(#REF!,"AAAAAHv/cK4=")</f>
        <v>#REF!</v>
      </c>
      <c r="FT20" t="e">
        <f>AND(#REF!,"AAAAAHv/cK8=")</f>
        <v>#REF!</v>
      </c>
      <c r="FU20" t="e">
        <f>AND(#REF!,"AAAAAHv/cLA=")</f>
        <v>#REF!</v>
      </c>
      <c r="FV20" t="e">
        <f>AND(#REF!,"AAAAAHv/cLE=")</f>
        <v>#REF!</v>
      </c>
      <c r="FW20" t="e">
        <f>AND(#REF!,"AAAAAHv/cLI=")</f>
        <v>#REF!</v>
      </c>
      <c r="FX20" t="e">
        <f>AND(#REF!,"AAAAAHv/cLM=")</f>
        <v>#REF!</v>
      </c>
      <c r="FY20" t="e">
        <f>AND(#REF!,"AAAAAHv/cLQ=")</f>
        <v>#REF!</v>
      </c>
      <c r="FZ20" t="e">
        <f>AND(#REF!,"AAAAAHv/cLU=")</f>
        <v>#REF!</v>
      </c>
      <c r="GA20" t="e">
        <f>AND(#REF!,"AAAAAHv/cLY=")</f>
        <v>#REF!</v>
      </c>
      <c r="GB20" t="e">
        <f>AND(#REF!,"AAAAAHv/cLc=")</f>
        <v>#REF!</v>
      </c>
      <c r="GC20" t="e">
        <f>AND(#REF!,"AAAAAHv/cLg=")</f>
        <v>#REF!</v>
      </c>
      <c r="GD20" t="e">
        <f>IF(#REF!,"AAAAAHv/cLk=",0)</f>
        <v>#REF!</v>
      </c>
      <c r="GE20" t="e">
        <f>AND(#REF!,"AAAAAHv/cLo=")</f>
        <v>#REF!</v>
      </c>
      <c r="GF20" t="e">
        <f>AND(#REF!,"AAAAAHv/cLs=")</f>
        <v>#REF!</v>
      </c>
      <c r="GG20" t="e">
        <f>AND(#REF!,"AAAAAHv/cLw=")</f>
        <v>#REF!</v>
      </c>
      <c r="GH20" t="e">
        <f>AND(#REF!,"AAAAAHv/cL0=")</f>
        <v>#REF!</v>
      </c>
      <c r="GI20" t="e">
        <f>AND(#REF!,"AAAAAHv/cL4=")</f>
        <v>#REF!</v>
      </c>
      <c r="GJ20" t="e">
        <f>AND(#REF!,"AAAAAHv/cL8=")</f>
        <v>#REF!</v>
      </c>
      <c r="GK20" t="e">
        <f>AND(#REF!,"AAAAAHv/cMA=")</f>
        <v>#REF!</v>
      </c>
      <c r="GL20" t="e">
        <f>AND(#REF!,"AAAAAHv/cME=")</f>
        <v>#REF!</v>
      </c>
      <c r="GM20" t="e">
        <f>AND(#REF!,"AAAAAHv/cMI=")</f>
        <v>#REF!</v>
      </c>
      <c r="GN20" t="e">
        <f>AND(#REF!,"AAAAAHv/cMM=")</f>
        <v>#REF!</v>
      </c>
      <c r="GO20" t="e">
        <f>AND(#REF!,"AAAAAHv/cMQ=")</f>
        <v>#REF!</v>
      </c>
      <c r="GP20" t="e">
        <f>IF(#REF!,"AAAAAHv/cMU=",0)</f>
        <v>#REF!</v>
      </c>
      <c r="GQ20" t="e">
        <f>AND(#REF!,"AAAAAHv/cMY=")</f>
        <v>#REF!</v>
      </c>
      <c r="GR20" t="e">
        <f>AND(#REF!,"AAAAAHv/cMc=")</f>
        <v>#REF!</v>
      </c>
      <c r="GS20" t="e">
        <f>AND(#REF!,"AAAAAHv/cMg=")</f>
        <v>#REF!</v>
      </c>
      <c r="GT20" t="e">
        <f>AND(#REF!,"AAAAAHv/cMk=")</f>
        <v>#REF!</v>
      </c>
      <c r="GU20" t="e">
        <f>AND(#REF!,"AAAAAHv/cMo=")</f>
        <v>#REF!</v>
      </c>
      <c r="GV20" t="e">
        <f>AND(#REF!,"AAAAAHv/cMs=")</f>
        <v>#REF!</v>
      </c>
      <c r="GW20" t="e">
        <f>AND(#REF!,"AAAAAHv/cMw=")</f>
        <v>#REF!</v>
      </c>
      <c r="GX20" t="e">
        <f>AND(#REF!,"AAAAAHv/cM0=")</f>
        <v>#REF!</v>
      </c>
      <c r="GY20" t="e">
        <f>AND(#REF!,"AAAAAHv/cM4=")</f>
        <v>#REF!</v>
      </c>
      <c r="GZ20" t="e">
        <f>AND(#REF!,"AAAAAHv/cM8=")</f>
        <v>#REF!</v>
      </c>
      <c r="HA20" t="e">
        <f>AND(#REF!,"AAAAAHv/cNA=")</f>
        <v>#REF!</v>
      </c>
      <c r="HB20" t="e">
        <f>IF(#REF!,"AAAAAHv/cNE=",0)</f>
        <v>#REF!</v>
      </c>
      <c r="HC20" t="e">
        <f>AND(#REF!,"AAAAAHv/cNI=")</f>
        <v>#REF!</v>
      </c>
      <c r="HD20" t="e">
        <f>AND(#REF!,"AAAAAHv/cNM=")</f>
        <v>#REF!</v>
      </c>
      <c r="HE20" t="e">
        <f>AND(#REF!,"AAAAAHv/cNQ=")</f>
        <v>#REF!</v>
      </c>
      <c r="HF20" t="e">
        <f>AND(#REF!,"AAAAAHv/cNU=")</f>
        <v>#REF!</v>
      </c>
      <c r="HG20" t="e">
        <f>AND(#REF!,"AAAAAHv/cNY=")</f>
        <v>#REF!</v>
      </c>
      <c r="HH20" t="e">
        <f>AND(#REF!,"AAAAAHv/cNc=")</f>
        <v>#REF!</v>
      </c>
      <c r="HI20" t="e">
        <f>AND(#REF!,"AAAAAHv/cNg=")</f>
        <v>#REF!</v>
      </c>
      <c r="HJ20" t="e">
        <f>AND(#REF!,"AAAAAHv/cNk=")</f>
        <v>#REF!</v>
      </c>
      <c r="HK20" t="e">
        <f>AND(#REF!,"AAAAAHv/cNo=")</f>
        <v>#REF!</v>
      </c>
      <c r="HL20" t="e">
        <f>AND(#REF!,"AAAAAHv/cNs=")</f>
        <v>#REF!</v>
      </c>
      <c r="HM20" t="e">
        <f>AND(#REF!,"AAAAAHv/cNw=")</f>
        <v>#REF!</v>
      </c>
      <c r="HN20" t="e">
        <f>IF(#REF!,"AAAAAHv/cN0=",0)</f>
        <v>#REF!</v>
      </c>
      <c r="HO20" t="e">
        <f>AND(#REF!,"AAAAAHv/cN4=")</f>
        <v>#REF!</v>
      </c>
      <c r="HP20" t="e">
        <f>AND(#REF!,"AAAAAHv/cN8=")</f>
        <v>#REF!</v>
      </c>
      <c r="HQ20" t="e">
        <f>AND(#REF!,"AAAAAHv/cOA=")</f>
        <v>#REF!</v>
      </c>
      <c r="HR20" t="e">
        <f>AND(#REF!,"AAAAAHv/cOE=")</f>
        <v>#REF!</v>
      </c>
      <c r="HS20" t="e">
        <f>AND(#REF!,"AAAAAHv/cOI=")</f>
        <v>#REF!</v>
      </c>
      <c r="HT20" t="e">
        <f>AND(#REF!,"AAAAAHv/cOM=")</f>
        <v>#REF!</v>
      </c>
      <c r="HU20" t="e">
        <f>AND(#REF!,"AAAAAHv/cOQ=")</f>
        <v>#REF!</v>
      </c>
      <c r="HV20" t="e">
        <f>AND(#REF!,"AAAAAHv/cOU=")</f>
        <v>#REF!</v>
      </c>
      <c r="HW20" t="e">
        <f>AND(#REF!,"AAAAAHv/cOY=")</f>
        <v>#REF!</v>
      </c>
      <c r="HX20" t="e">
        <f>AND(#REF!,"AAAAAHv/cOc=")</f>
        <v>#REF!</v>
      </c>
      <c r="HY20" t="e">
        <f>AND(#REF!,"AAAAAHv/cOg=")</f>
        <v>#REF!</v>
      </c>
      <c r="HZ20" t="e">
        <f>IF(#REF!,"AAAAAHv/cOk=",0)</f>
        <v>#REF!</v>
      </c>
      <c r="IA20" t="e">
        <f>AND(#REF!,"AAAAAHv/cOo=")</f>
        <v>#REF!</v>
      </c>
      <c r="IB20" t="e">
        <f>AND(#REF!,"AAAAAHv/cOs=")</f>
        <v>#REF!</v>
      </c>
      <c r="IC20" t="e">
        <f>AND(#REF!,"AAAAAHv/cOw=")</f>
        <v>#REF!</v>
      </c>
      <c r="ID20" t="e">
        <f>AND(#REF!,"AAAAAHv/cO0=")</f>
        <v>#REF!</v>
      </c>
      <c r="IE20" t="e">
        <f>AND(#REF!,"AAAAAHv/cO4=")</f>
        <v>#REF!</v>
      </c>
      <c r="IF20" t="e">
        <f>AND(#REF!,"AAAAAHv/cO8=")</f>
        <v>#REF!</v>
      </c>
      <c r="IG20" t="e">
        <f>AND(#REF!,"AAAAAHv/cPA=")</f>
        <v>#REF!</v>
      </c>
      <c r="IH20" t="e">
        <f>AND(#REF!,"AAAAAHv/cPE=")</f>
        <v>#REF!</v>
      </c>
      <c r="II20" t="e">
        <f>AND(#REF!,"AAAAAHv/cPI=")</f>
        <v>#REF!</v>
      </c>
      <c r="IJ20" t="e">
        <f>AND(#REF!,"AAAAAHv/cPM=")</f>
        <v>#REF!</v>
      </c>
      <c r="IK20" t="e">
        <f>AND(#REF!,"AAAAAHv/cPQ=")</f>
        <v>#REF!</v>
      </c>
      <c r="IL20" t="e">
        <f>IF(#REF!,"AAAAAHv/cPU=",0)</f>
        <v>#REF!</v>
      </c>
      <c r="IM20" t="e">
        <f>AND(#REF!,"AAAAAHv/cPY=")</f>
        <v>#REF!</v>
      </c>
      <c r="IN20" t="e">
        <f>AND(#REF!,"AAAAAHv/cPc=")</f>
        <v>#REF!</v>
      </c>
      <c r="IO20" t="e">
        <f>AND(#REF!,"AAAAAHv/cPg=")</f>
        <v>#REF!</v>
      </c>
      <c r="IP20" t="e">
        <f>AND(#REF!,"AAAAAHv/cPk=")</f>
        <v>#REF!</v>
      </c>
      <c r="IQ20" t="e">
        <f>AND(#REF!,"AAAAAHv/cPo=")</f>
        <v>#REF!</v>
      </c>
      <c r="IR20" t="e">
        <f>AND(#REF!,"AAAAAHv/cPs=")</f>
        <v>#REF!</v>
      </c>
      <c r="IS20" t="e">
        <f>AND(#REF!,"AAAAAHv/cPw=")</f>
        <v>#REF!</v>
      </c>
      <c r="IT20" t="e">
        <f>AND(#REF!,"AAAAAHv/cP0=")</f>
        <v>#REF!</v>
      </c>
      <c r="IU20" t="e">
        <f>AND(#REF!,"AAAAAHv/cP4=")</f>
        <v>#REF!</v>
      </c>
      <c r="IV20" t="e">
        <f>AND(#REF!,"AAAAAHv/cP8=")</f>
        <v>#REF!</v>
      </c>
    </row>
    <row r="21" spans="1:256">
      <c r="A21" t="e">
        <f>AND(#REF!,"AAAAAFP2ywA=")</f>
        <v>#REF!</v>
      </c>
      <c r="B21" t="e">
        <f>IF(#REF!,"AAAAAFP2ywE=",0)</f>
        <v>#REF!</v>
      </c>
      <c r="C21" t="e">
        <f>AND(#REF!,"AAAAAFP2ywI=")</f>
        <v>#REF!</v>
      </c>
      <c r="D21" t="e">
        <f>AND(#REF!,"AAAAAFP2ywM=")</f>
        <v>#REF!</v>
      </c>
      <c r="E21" t="e">
        <f>AND(#REF!,"AAAAAFP2ywQ=")</f>
        <v>#REF!</v>
      </c>
      <c r="F21" t="e">
        <f>AND(#REF!,"AAAAAFP2ywU=")</f>
        <v>#REF!</v>
      </c>
      <c r="G21" t="e">
        <f>AND(#REF!,"AAAAAFP2ywY=")</f>
        <v>#REF!</v>
      </c>
      <c r="H21" t="e">
        <f>AND(#REF!,"AAAAAFP2ywc=")</f>
        <v>#REF!</v>
      </c>
      <c r="I21" t="e">
        <f>IF(#REF!,"AAAAAFP2ywg=",0)</f>
        <v>#REF!</v>
      </c>
      <c r="J21" t="e">
        <f>AND(#REF!,"AAAAAFP2ywk=")</f>
        <v>#REF!</v>
      </c>
      <c r="K21" t="e">
        <f>AND(#REF!,"AAAAAFP2ywo=")</f>
        <v>#REF!</v>
      </c>
      <c r="L21" t="e">
        <f>AND(#REF!,"AAAAAFP2yws=")</f>
        <v>#REF!</v>
      </c>
      <c r="M21" t="e">
        <f>AND(#REF!,"AAAAAFP2yww=")</f>
        <v>#REF!</v>
      </c>
      <c r="N21" t="e">
        <f>AND(#REF!,"AAAAAFP2yw0=")</f>
        <v>#REF!</v>
      </c>
      <c r="O21" t="e">
        <f>AND(#REF!,"AAAAAFP2yw4=")</f>
        <v>#REF!</v>
      </c>
      <c r="P21" t="e">
        <f>IF(#REF!,"AAAAAFP2yw8=",0)</f>
        <v>#REF!</v>
      </c>
      <c r="Q21" t="e">
        <f>AND(#REF!,"AAAAAFP2yxA=")</f>
        <v>#REF!</v>
      </c>
      <c r="R21" t="e">
        <f>AND(#REF!,"AAAAAFP2yxE=")</f>
        <v>#REF!</v>
      </c>
      <c r="S21" t="e">
        <f>AND(#REF!,"AAAAAFP2yxI=")</f>
        <v>#REF!</v>
      </c>
      <c r="T21" t="e">
        <f>AND(#REF!,"AAAAAFP2yxM=")</f>
        <v>#REF!</v>
      </c>
      <c r="U21" t="e">
        <f>AND(#REF!,"AAAAAFP2yxQ=")</f>
        <v>#REF!</v>
      </c>
      <c r="V21" t="e">
        <f>AND(#REF!,"AAAAAFP2yxU=")</f>
        <v>#REF!</v>
      </c>
      <c r="W21" t="e">
        <f>IF(#REF!,"AAAAAFP2yxY=",0)</f>
        <v>#REF!</v>
      </c>
      <c r="X21" t="e">
        <f>AND(#REF!,"AAAAAFP2yxc=")</f>
        <v>#REF!</v>
      </c>
      <c r="Y21" t="e">
        <f>AND(#REF!,"AAAAAFP2yxg=")</f>
        <v>#REF!</v>
      </c>
      <c r="Z21" t="e">
        <f>AND(#REF!,"AAAAAFP2yxk=")</f>
        <v>#REF!</v>
      </c>
      <c r="AA21" t="e">
        <f>AND(#REF!,"AAAAAFP2yxo=")</f>
        <v>#REF!</v>
      </c>
      <c r="AB21" t="e">
        <f>AND(#REF!,"AAAAAFP2yxs=")</f>
        <v>#REF!</v>
      </c>
      <c r="AC21" t="e">
        <f>AND(#REF!,"AAAAAFP2yxw=")</f>
        <v>#REF!</v>
      </c>
      <c r="AD21" t="e">
        <f>IF(#REF!,"AAAAAFP2yx0=",0)</f>
        <v>#REF!</v>
      </c>
      <c r="AE21" t="e">
        <f>IF(#REF!,"AAAAAFP2yx4=",0)</f>
        <v>#REF!</v>
      </c>
      <c r="AF21" t="e">
        <f>IF(#REF!,"AAAAAFP2yx8=",0)</f>
        <v>#REF!</v>
      </c>
      <c r="AG21" t="e">
        <f>IF(#REF!,"AAAAAFP2yyA=",0)</f>
        <v>#REF!</v>
      </c>
      <c r="AH21" t="e">
        <f>IF(#REF!,"AAAAAFP2yyE=",0)</f>
        <v>#REF!</v>
      </c>
      <c r="AI21" t="e">
        <f>IF(#REF!,"AAAAAFP2yyI=",0)</f>
        <v>#REF!</v>
      </c>
      <c r="AJ21" t="e">
        <f>IF(#REF!,"AAAAAFP2yyM=",0)</f>
        <v>#REF!</v>
      </c>
      <c r="AK21" t="e">
        <f>IF(#REF!,"AAAAAFP2yyQ=",0)</f>
        <v>#REF!</v>
      </c>
      <c r="AL21" t="e">
        <f>IF(#REF!,"AAAAAFP2yyU=",0)</f>
        <v>#REF!</v>
      </c>
      <c r="AM21" t="e">
        <f>IF(#REF!,"AAAAAFP2yyY=",0)</f>
        <v>#REF!</v>
      </c>
      <c r="AN21" t="e">
        <f>IF(#REF!,"AAAAAFP2yyc=",0)</f>
        <v>#REF!</v>
      </c>
      <c r="AO21" t="e">
        <f>IF(#REF!,"AAAAAFP2yyg=",0)</f>
        <v>#REF!</v>
      </c>
      <c r="AP21" t="e">
        <f>AND(#REF!,"AAAAAFP2yyk=")</f>
        <v>#REF!</v>
      </c>
      <c r="AQ21" t="e">
        <f>AND(#REF!,"AAAAAFP2yyo=")</f>
        <v>#REF!</v>
      </c>
      <c r="AR21" t="e">
        <f>AND(#REF!,"AAAAAFP2yys=")</f>
        <v>#REF!</v>
      </c>
      <c r="AS21" t="e">
        <f>AND(#REF!,"AAAAAFP2yyw=")</f>
        <v>#REF!</v>
      </c>
      <c r="AT21" t="e">
        <f>AND(#REF!,"AAAAAFP2yy0=")</f>
        <v>#REF!</v>
      </c>
      <c r="AU21" t="e">
        <f>AND(#REF!,"AAAAAFP2yy4=")</f>
        <v>#REF!</v>
      </c>
      <c r="AV21" t="e">
        <f>AND(#REF!,"AAAAAFP2yy8=")</f>
        <v>#REF!</v>
      </c>
      <c r="AW21" t="e">
        <f>AND(#REF!,"AAAAAFP2yzA=")</f>
        <v>#REF!</v>
      </c>
      <c r="AX21" t="e">
        <f>AND(#REF!,"AAAAAFP2yzE=")</f>
        <v>#REF!</v>
      </c>
      <c r="AY21" t="e">
        <f>AND(#REF!,"AAAAAFP2yzI=")</f>
        <v>#REF!</v>
      </c>
      <c r="AZ21" t="e">
        <f>IF(#REF!,"AAAAAFP2yzM=",0)</f>
        <v>#REF!</v>
      </c>
      <c r="BA21" t="e">
        <f>AND(#REF!,"AAAAAFP2yzQ=")</f>
        <v>#REF!</v>
      </c>
      <c r="BB21" t="e">
        <f>AND(#REF!,"AAAAAFP2yzU=")</f>
        <v>#REF!</v>
      </c>
      <c r="BC21" t="e">
        <f>AND(#REF!,"AAAAAFP2yzY=")</f>
        <v>#REF!</v>
      </c>
      <c r="BD21" t="e">
        <f>AND(#REF!,"AAAAAFP2yzc=")</f>
        <v>#REF!</v>
      </c>
      <c r="BE21" t="e">
        <f>AND(#REF!,"AAAAAFP2yzg=")</f>
        <v>#REF!</v>
      </c>
      <c r="BF21" t="e">
        <f>AND(#REF!,"AAAAAFP2yzk=")</f>
        <v>#REF!</v>
      </c>
      <c r="BG21" t="e">
        <f>AND(#REF!,"AAAAAFP2yzo=")</f>
        <v>#REF!</v>
      </c>
      <c r="BH21" t="e">
        <f>AND(#REF!,"AAAAAFP2yzs=")</f>
        <v>#REF!</v>
      </c>
      <c r="BI21" t="e">
        <f>AND(#REF!,"AAAAAFP2yzw=")</f>
        <v>#REF!</v>
      </c>
      <c r="BJ21" t="e">
        <f>AND(#REF!,"AAAAAFP2yz0=")</f>
        <v>#REF!</v>
      </c>
      <c r="BK21" t="e">
        <f>IF(#REF!,"AAAAAFP2yz4=",0)</f>
        <v>#REF!</v>
      </c>
      <c r="BL21" t="e">
        <f>AND(#REF!,"AAAAAFP2yz8=")</f>
        <v>#REF!</v>
      </c>
      <c r="BM21" t="e">
        <f>AND(#REF!,"AAAAAFP2y0A=")</f>
        <v>#REF!</v>
      </c>
      <c r="BN21" t="e">
        <f>AND(#REF!,"AAAAAFP2y0E=")</f>
        <v>#REF!</v>
      </c>
      <c r="BO21" t="e">
        <f>AND(#REF!,"AAAAAFP2y0I=")</f>
        <v>#REF!</v>
      </c>
      <c r="BP21" t="e">
        <f>AND(#REF!,"AAAAAFP2y0M=")</f>
        <v>#REF!</v>
      </c>
      <c r="BQ21" t="e">
        <f>AND(#REF!,"AAAAAFP2y0Q=")</f>
        <v>#REF!</v>
      </c>
      <c r="BR21" t="e">
        <f>AND(#REF!,"AAAAAFP2y0U=")</f>
        <v>#REF!</v>
      </c>
      <c r="BS21" t="e">
        <f>AND(#REF!,"AAAAAFP2y0Y=")</f>
        <v>#REF!</v>
      </c>
      <c r="BT21" t="e">
        <f>AND(#REF!,"AAAAAFP2y0c=")</f>
        <v>#REF!</v>
      </c>
      <c r="BU21" t="e">
        <f>AND(#REF!,"AAAAAFP2y0g=")</f>
        <v>#REF!</v>
      </c>
      <c r="BV21" t="e">
        <f>IF(#REF!,"AAAAAFP2y0k=",0)</f>
        <v>#REF!</v>
      </c>
      <c r="BW21" t="e">
        <f>AND(#REF!,"AAAAAFP2y0o=")</f>
        <v>#REF!</v>
      </c>
      <c r="BX21" t="e">
        <f>AND(#REF!,"AAAAAFP2y0s=")</f>
        <v>#REF!</v>
      </c>
      <c r="BY21" t="e">
        <f>AND(#REF!,"AAAAAFP2y0w=")</f>
        <v>#REF!</v>
      </c>
      <c r="BZ21" t="e">
        <f>AND(#REF!,"AAAAAFP2y00=")</f>
        <v>#REF!</v>
      </c>
      <c r="CA21" t="e">
        <f>AND(#REF!,"AAAAAFP2y04=")</f>
        <v>#REF!</v>
      </c>
      <c r="CB21" t="e">
        <f>AND(#REF!,"AAAAAFP2y08=")</f>
        <v>#REF!</v>
      </c>
      <c r="CC21" t="e">
        <f>AND(#REF!,"AAAAAFP2y1A=")</f>
        <v>#REF!</v>
      </c>
      <c r="CD21" t="e">
        <f>AND(#REF!,"AAAAAFP2y1E=")</f>
        <v>#REF!</v>
      </c>
      <c r="CE21" t="e">
        <f>AND(#REF!,"AAAAAFP2y1I=")</f>
        <v>#REF!</v>
      </c>
      <c r="CF21" t="e">
        <f>AND(#REF!,"AAAAAFP2y1M=")</f>
        <v>#REF!</v>
      </c>
      <c r="CG21" t="e">
        <f>IF(#REF!,"AAAAAFP2y1Q=",0)</f>
        <v>#REF!</v>
      </c>
      <c r="CH21" t="e">
        <f>AND(#REF!,"AAAAAFP2y1U=")</f>
        <v>#REF!</v>
      </c>
      <c r="CI21" t="e">
        <f>AND(#REF!,"AAAAAFP2y1Y=")</f>
        <v>#REF!</v>
      </c>
      <c r="CJ21" t="e">
        <f>AND(#REF!,"AAAAAFP2y1c=")</f>
        <v>#REF!</v>
      </c>
      <c r="CK21" t="e">
        <f>AND(#REF!,"AAAAAFP2y1g=")</f>
        <v>#REF!</v>
      </c>
      <c r="CL21" t="e">
        <f>AND(#REF!,"AAAAAFP2y1k=")</f>
        <v>#REF!</v>
      </c>
      <c r="CM21" t="e">
        <f>AND(#REF!,"AAAAAFP2y1o=")</f>
        <v>#REF!</v>
      </c>
      <c r="CN21" t="e">
        <f>AND(#REF!,"AAAAAFP2y1s=")</f>
        <v>#REF!</v>
      </c>
      <c r="CO21" t="e">
        <f>AND(#REF!,"AAAAAFP2y1w=")</f>
        <v>#REF!</v>
      </c>
      <c r="CP21" t="e">
        <f>AND(#REF!,"AAAAAFP2y10=")</f>
        <v>#REF!</v>
      </c>
      <c r="CQ21" t="e">
        <f>AND(#REF!,"AAAAAFP2y14=")</f>
        <v>#REF!</v>
      </c>
      <c r="CR21" t="e">
        <f>IF(#REF!,"AAAAAFP2y18=",0)</f>
        <v>#REF!</v>
      </c>
      <c r="CS21" t="e">
        <f>AND(#REF!,"AAAAAFP2y2A=")</f>
        <v>#REF!</v>
      </c>
      <c r="CT21" t="e">
        <f>AND(#REF!,"AAAAAFP2y2E=")</f>
        <v>#REF!</v>
      </c>
      <c r="CU21" t="e">
        <f>AND(#REF!,"AAAAAFP2y2I=")</f>
        <v>#REF!</v>
      </c>
      <c r="CV21" t="e">
        <f>AND(#REF!,"AAAAAFP2y2M=")</f>
        <v>#REF!</v>
      </c>
      <c r="CW21" t="e">
        <f>AND(#REF!,"AAAAAFP2y2Q=")</f>
        <v>#REF!</v>
      </c>
      <c r="CX21" t="e">
        <f>AND(#REF!,"AAAAAFP2y2U=")</f>
        <v>#REF!</v>
      </c>
      <c r="CY21" t="e">
        <f>AND(#REF!,"AAAAAFP2y2Y=")</f>
        <v>#REF!</v>
      </c>
      <c r="CZ21" t="e">
        <f>AND(#REF!,"AAAAAFP2y2c=")</f>
        <v>#REF!</v>
      </c>
      <c r="DA21" t="e">
        <f>AND(#REF!,"AAAAAFP2y2g=")</f>
        <v>#REF!</v>
      </c>
      <c r="DB21" t="e">
        <f>AND(#REF!,"AAAAAFP2y2k=")</f>
        <v>#REF!</v>
      </c>
      <c r="DC21" t="e">
        <f>IF(#REF!,"AAAAAFP2y2o=",0)</f>
        <v>#REF!</v>
      </c>
      <c r="DD21" t="e">
        <f>AND(#REF!,"AAAAAFP2y2s=")</f>
        <v>#REF!</v>
      </c>
      <c r="DE21" t="e">
        <f>AND(#REF!,"AAAAAFP2y2w=")</f>
        <v>#REF!</v>
      </c>
      <c r="DF21" t="e">
        <f>AND(#REF!,"AAAAAFP2y20=")</f>
        <v>#REF!</v>
      </c>
      <c r="DG21" t="e">
        <f>AND(#REF!,"AAAAAFP2y24=")</f>
        <v>#REF!</v>
      </c>
      <c r="DH21" t="e">
        <f>AND(#REF!,"AAAAAFP2y28=")</f>
        <v>#REF!</v>
      </c>
      <c r="DI21" t="e">
        <f>AND(#REF!,"AAAAAFP2y3A=")</f>
        <v>#REF!</v>
      </c>
      <c r="DJ21" t="e">
        <f>AND(#REF!,"AAAAAFP2y3E=")</f>
        <v>#REF!</v>
      </c>
      <c r="DK21" t="e">
        <f>AND(#REF!,"AAAAAFP2y3I=")</f>
        <v>#REF!</v>
      </c>
      <c r="DL21" t="e">
        <f>AND(#REF!,"AAAAAFP2y3M=")</f>
        <v>#REF!</v>
      </c>
      <c r="DM21" t="e">
        <f>AND(#REF!,"AAAAAFP2y3Q=")</f>
        <v>#REF!</v>
      </c>
      <c r="DN21" t="e">
        <f>IF(#REF!,"AAAAAFP2y3U=",0)</f>
        <v>#REF!</v>
      </c>
      <c r="DO21" t="e">
        <f>AND(#REF!,"AAAAAFP2y3Y=")</f>
        <v>#REF!</v>
      </c>
      <c r="DP21" t="e">
        <f>AND(#REF!,"AAAAAFP2y3c=")</f>
        <v>#REF!</v>
      </c>
      <c r="DQ21" t="e">
        <f>AND(#REF!,"AAAAAFP2y3g=")</f>
        <v>#REF!</v>
      </c>
      <c r="DR21" t="e">
        <f>AND(#REF!,"AAAAAFP2y3k=")</f>
        <v>#REF!</v>
      </c>
      <c r="DS21" t="e">
        <f>AND(#REF!,"AAAAAFP2y3o=")</f>
        <v>#REF!</v>
      </c>
      <c r="DT21" t="e">
        <f>AND(#REF!,"AAAAAFP2y3s=")</f>
        <v>#REF!</v>
      </c>
      <c r="DU21" t="e">
        <f>AND(#REF!,"AAAAAFP2y3w=")</f>
        <v>#REF!</v>
      </c>
      <c r="DV21" t="e">
        <f>AND(#REF!,"AAAAAFP2y30=")</f>
        <v>#REF!</v>
      </c>
      <c r="DW21" t="e">
        <f>AND(#REF!,"AAAAAFP2y34=")</f>
        <v>#REF!</v>
      </c>
      <c r="DX21" t="e">
        <f>AND(#REF!,"AAAAAFP2y38=")</f>
        <v>#REF!</v>
      </c>
      <c r="DY21" t="e">
        <f>IF(#REF!,"AAAAAFP2y4A=",0)</f>
        <v>#REF!</v>
      </c>
      <c r="DZ21" t="e">
        <f>AND(#REF!,"AAAAAFP2y4E=")</f>
        <v>#REF!</v>
      </c>
      <c r="EA21" t="e">
        <f>AND(#REF!,"AAAAAFP2y4I=")</f>
        <v>#REF!</v>
      </c>
      <c r="EB21" t="e">
        <f>AND(#REF!,"AAAAAFP2y4M=")</f>
        <v>#REF!</v>
      </c>
      <c r="EC21" t="e">
        <f>AND(#REF!,"AAAAAFP2y4Q=")</f>
        <v>#REF!</v>
      </c>
      <c r="ED21" t="e">
        <f>AND(#REF!,"AAAAAFP2y4U=")</f>
        <v>#REF!</v>
      </c>
      <c r="EE21" t="e">
        <f>AND(#REF!,"AAAAAFP2y4Y=")</f>
        <v>#REF!</v>
      </c>
      <c r="EF21" t="e">
        <f>AND(#REF!,"AAAAAFP2y4c=")</f>
        <v>#REF!</v>
      </c>
      <c r="EG21" t="e">
        <f>AND(#REF!,"AAAAAFP2y4g=")</f>
        <v>#REF!</v>
      </c>
      <c r="EH21" t="e">
        <f>AND(#REF!,"AAAAAFP2y4k=")</f>
        <v>#REF!</v>
      </c>
      <c r="EI21" t="e">
        <f>AND(#REF!,"AAAAAFP2y4o=")</f>
        <v>#REF!</v>
      </c>
      <c r="EJ21" t="e">
        <f>IF(#REF!,"AAAAAFP2y4s=",0)</f>
        <v>#REF!</v>
      </c>
      <c r="EK21" t="e">
        <f>AND(#REF!,"AAAAAFP2y4w=")</f>
        <v>#REF!</v>
      </c>
      <c r="EL21" t="e">
        <f>AND(#REF!,"AAAAAFP2y40=")</f>
        <v>#REF!</v>
      </c>
      <c r="EM21" t="e">
        <f>AND(#REF!,"AAAAAFP2y44=")</f>
        <v>#REF!</v>
      </c>
      <c r="EN21" t="e">
        <f>AND(#REF!,"AAAAAFP2y48=")</f>
        <v>#REF!</v>
      </c>
      <c r="EO21" t="e">
        <f>AND(#REF!,"AAAAAFP2y5A=")</f>
        <v>#REF!</v>
      </c>
      <c r="EP21" t="e">
        <f>AND(#REF!,"AAAAAFP2y5E=")</f>
        <v>#REF!</v>
      </c>
      <c r="EQ21" t="e">
        <f>AND(#REF!,"AAAAAFP2y5I=")</f>
        <v>#REF!</v>
      </c>
      <c r="ER21" t="e">
        <f>AND(#REF!,"AAAAAFP2y5M=")</f>
        <v>#REF!</v>
      </c>
      <c r="ES21" t="e">
        <f>AND(#REF!,"AAAAAFP2y5Q=")</f>
        <v>#REF!</v>
      </c>
      <c r="ET21" t="e">
        <f>AND(#REF!,"AAAAAFP2y5U=")</f>
        <v>#REF!</v>
      </c>
      <c r="EU21" t="e">
        <f>IF(#REF!,"AAAAAFP2y5Y=",0)</f>
        <v>#REF!</v>
      </c>
      <c r="EV21" t="e">
        <f>AND(#REF!,"AAAAAFP2y5c=")</f>
        <v>#REF!</v>
      </c>
      <c r="EW21" t="e">
        <f>AND(#REF!,"AAAAAFP2y5g=")</f>
        <v>#REF!</v>
      </c>
      <c r="EX21" t="e">
        <f>AND(#REF!,"AAAAAFP2y5k=")</f>
        <v>#REF!</v>
      </c>
      <c r="EY21" t="e">
        <f>AND(#REF!,"AAAAAFP2y5o=")</f>
        <v>#REF!</v>
      </c>
      <c r="EZ21" t="e">
        <f>AND(#REF!,"AAAAAFP2y5s=")</f>
        <v>#REF!</v>
      </c>
      <c r="FA21" t="e">
        <f>AND(#REF!,"AAAAAFP2y5w=")</f>
        <v>#REF!</v>
      </c>
      <c r="FB21" t="e">
        <f>AND(#REF!,"AAAAAFP2y50=")</f>
        <v>#REF!</v>
      </c>
      <c r="FC21" t="e">
        <f>AND(#REF!,"AAAAAFP2y54=")</f>
        <v>#REF!</v>
      </c>
      <c r="FD21" t="e">
        <f>AND(#REF!,"AAAAAFP2y58=")</f>
        <v>#REF!</v>
      </c>
      <c r="FE21" t="e">
        <f>AND(#REF!,"AAAAAFP2y6A=")</f>
        <v>#REF!</v>
      </c>
      <c r="FF21" t="e">
        <f>IF(#REF!,"AAAAAFP2y6E=",0)</f>
        <v>#REF!</v>
      </c>
      <c r="FG21" t="e">
        <f>AND(#REF!,"AAAAAFP2y6I=")</f>
        <v>#REF!</v>
      </c>
      <c r="FH21" t="e">
        <f>AND(#REF!,"AAAAAFP2y6M=")</f>
        <v>#REF!</v>
      </c>
      <c r="FI21" t="e">
        <f>AND(#REF!,"AAAAAFP2y6Q=")</f>
        <v>#REF!</v>
      </c>
      <c r="FJ21" t="e">
        <f>AND(#REF!,"AAAAAFP2y6U=")</f>
        <v>#REF!</v>
      </c>
      <c r="FK21" t="e">
        <f>AND(#REF!,"AAAAAFP2y6Y=")</f>
        <v>#REF!</v>
      </c>
      <c r="FL21" t="e">
        <f>AND(#REF!,"AAAAAFP2y6c=")</f>
        <v>#REF!</v>
      </c>
      <c r="FM21" t="e">
        <f>AND(#REF!,"AAAAAFP2y6g=")</f>
        <v>#REF!</v>
      </c>
      <c r="FN21" t="e">
        <f>AND(#REF!,"AAAAAFP2y6k=")</f>
        <v>#REF!</v>
      </c>
      <c r="FO21" t="e">
        <f>AND(#REF!,"AAAAAFP2y6o=")</f>
        <v>#REF!</v>
      </c>
      <c r="FP21" t="e">
        <f>AND(#REF!,"AAAAAFP2y6s=")</f>
        <v>#REF!</v>
      </c>
      <c r="FQ21" t="e">
        <f>IF(#REF!,"AAAAAFP2y6w=",0)</f>
        <v>#REF!</v>
      </c>
      <c r="FR21" t="e">
        <f>AND(#REF!,"AAAAAFP2y60=")</f>
        <v>#REF!</v>
      </c>
      <c r="FS21" t="e">
        <f>AND(#REF!,"AAAAAFP2y64=")</f>
        <v>#REF!</v>
      </c>
      <c r="FT21" t="e">
        <f>AND(#REF!,"AAAAAFP2y68=")</f>
        <v>#REF!</v>
      </c>
      <c r="FU21" t="e">
        <f>AND(#REF!,"AAAAAFP2y7A=")</f>
        <v>#REF!</v>
      </c>
      <c r="FV21" t="e">
        <f>AND(#REF!,"AAAAAFP2y7E=")</f>
        <v>#REF!</v>
      </c>
      <c r="FW21" t="e">
        <f>AND(#REF!,"AAAAAFP2y7I=")</f>
        <v>#REF!</v>
      </c>
      <c r="FX21" t="e">
        <f>AND(#REF!,"AAAAAFP2y7M=")</f>
        <v>#REF!</v>
      </c>
      <c r="FY21" t="e">
        <f>AND(#REF!,"AAAAAFP2y7Q=")</f>
        <v>#REF!</v>
      </c>
      <c r="FZ21" t="e">
        <f>AND(#REF!,"AAAAAFP2y7U=")</f>
        <v>#REF!</v>
      </c>
      <c r="GA21" t="e">
        <f>AND(#REF!,"AAAAAFP2y7Y=")</f>
        <v>#REF!</v>
      </c>
      <c r="GB21" t="e">
        <f>IF(#REF!,"AAAAAFP2y7c=",0)</f>
        <v>#REF!</v>
      </c>
      <c r="GC21" t="e">
        <f>AND(#REF!,"AAAAAFP2y7g=")</f>
        <v>#REF!</v>
      </c>
      <c r="GD21" t="e">
        <f>AND(#REF!,"AAAAAFP2y7k=")</f>
        <v>#REF!</v>
      </c>
      <c r="GE21" t="e">
        <f>AND(#REF!,"AAAAAFP2y7o=")</f>
        <v>#REF!</v>
      </c>
      <c r="GF21" t="e">
        <f>AND(#REF!,"AAAAAFP2y7s=")</f>
        <v>#REF!</v>
      </c>
      <c r="GG21" t="e">
        <f>AND(#REF!,"AAAAAFP2y7w=")</f>
        <v>#REF!</v>
      </c>
      <c r="GH21" t="e">
        <f>AND(#REF!,"AAAAAFP2y70=")</f>
        <v>#REF!</v>
      </c>
      <c r="GI21" t="e">
        <f>AND(#REF!,"AAAAAFP2y74=")</f>
        <v>#REF!</v>
      </c>
      <c r="GJ21" t="e">
        <f>AND(#REF!,"AAAAAFP2y78=")</f>
        <v>#REF!</v>
      </c>
      <c r="GK21" t="e">
        <f>AND(#REF!,"AAAAAFP2y8A=")</f>
        <v>#REF!</v>
      </c>
      <c r="GL21" t="e">
        <f>AND(#REF!,"AAAAAFP2y8E=")</f>
        <v>#REF!</v>
      </c>
      <c r="GM21" t="e">
        <f>IF(#REF!,"AAAAAFP2y8I=",0)</f>
        <v>#REF!</v>
      </c>
      <c r="GN21" t="e">
        <f>AND(#REF!,"AAAAAFP2y8M=")</f>
        <v>#REF!</v>
      </c>
      <c r="GO21" t="e">
        <f>AND(#REF!,"AAAAAFP2y8Q=")</f>
        <v>#REF!</v>
      </c>
      <c r="GP21" t="e">
        <f>AND(#REF!,"AAAAAFP2y8U=")</f>
        <v>#REF!</v>
      </c>
      <c r="GQ21" t="e">
        <f>AND(#REF!,"AAAAAFP2y8Y=")</f>
        <v>#REF!</v>
      </c>
      <c r="GR21" t="e">
        <f>AND(#REF!,"AAAAAFP2y8c=")</f>
        <v>#REF!</v>
      </c>
      <c r="GS21" t="e">
        <f>AND(#REF!,"AAAAAFP2y8g=")</f>
        <v>#REF!</v>
      </c>
      <c r="GT21" t="e">
        <f>AND(#REF!,"AAAAAFP2y8k=")</f>
        <v>#REF!</v>
      </c>
      <c r="GU21" t="e">
        <f>AND(#REF!,"AAAAAFP2y8o=")</f>
        <v>#REF!</v>
      </c>
      <c r="GV21" t="e">
        <f>AND(#REF!,"AAAAAFP2y8s=")</f>
        <v>#REF!</v>
      </c>
      <c r="GW21" t="e">
        <f>AND(#REF!,"AAAAAFP2y8w=")</f>
        <v>#REF!</v>
      </c>
      <c r="GX21" t="e">
        <f>IF(#REF!,"AAAAAFP2y80=",0)</f>
        <v>#REF!</v>
      </c>
      <c r="GY21" t="e">
        <f>AND(#REF!,"AAAAAFP2y84=")</f>
        <v>#REF!</v>
      </c>
      <c r="GZ21" t="e">
        <f>AND(#REF!,"AAAAAFP2y88=")</f>
        <v>#REF!</v>
      </c>
      <c r="HA21" t="e">
        <f>AND(#REF!,"AAAAAFP2y9A=")</f>
        <v>#REF!</v>
      </c>
      <c r="HB21" t="e">
        <f>AND(#REF!,"AAAAAFP2y9E=")</f>
        <v>#REF!</v>
      </c>
      <c r="HC21" t="e">
        <f>AND(#REF!,"AAAAAFP2y9I=")</f>
        <v>#REF!</v>
      </c>
      <c r="HD21" t="e">
        <f>AND(#REF!,"AAAAAFP2y9M=")</f>
        <v>#REF!</v>
      </c>
      <c r="HE21" t="e">
        <f>AND(#REF!,"AAAAAFP2y9Q=")</f>
        <v>#REF!</v>
      </c>
      <c r="HF21" t="e">
        <f>AND(#REF!,"AAAAAFP2y9U=")</f>
        <v>#REF!</v>
      </c>
      <c r="HG21" t="e">
        <f>AND(#REF!,"AAAAAFP2y9Y=")</f>
        <v>#REF!</v>
      </c>
      <c r="HH21" t="e">
        <f>AND(#REF!,"AAAAAFP2y9c=")</f>
        <v>#REF!</v>
      </c>
      <c r="HI21" t="e">
        <f>IF(#REF!,"AAAAAFP2y9g=",0)</f>
        <v>#REF!</v>
      </c>
      <c r="HJ21" t="e">
        <f>AND(#REF!,"AAAAAFP2y9k=")</f>
        <v>#REF!</v>
      </c>
      <c r="HK21" t="e">
        <f>AND(#REF!,"AAAAAFP2y9o=")</f>
        <v>#REF!</v>
      </c>
      <c r="HL21" t="e">
        <f>AND(#REF!,"AAAAAFP2y9s=")</f>
        <v>#REF!</v>
      </c>
      <c r="HM21" t="e">
        <f>AND(#REF!,"AAAAAFP2y9w=")</f>
        <v>#REF!</v>
      </c>
      <c r="HN21" t="e">
        <f>AND(#REF!,"AAAAAFP2y90=")</f>
        <v>#REF!</v>
      </c>
      <c r="HO21" t="e">
        <f>AND(#REF!,"AAAAAFP2y94=")</f>
        <v>#REF!</v>
      </c>
      <c r="HP21" t="e">
        <f>AND(#REF!,"AAAAAFP2y98=")</f>
        <v>#REF!</v>
      </c>
      <c r="HQ21" t="e">
        <f>AND(#REF!,"AAAAAFP2y+A=")</f>
        <v>#REF!</v>
      </c>
      <c r="HR21" t="e">
        <f>AND(#REF!,"AAAAAFP2y+E=")</f>
        <v>#REF!</v>
      </c>
      <c r="HS21" t="e">
        <f>AND(#REF!,"AAAAAFP2y+I=")</f>
        <v>#REF!</v>
      </c>
      <c r="HT21" t="e">
        <f>IF(#REF!,"AAAAAFP2y+M=",0)</f>
        <v>#REF!</v>
      </c>
      <c r="HU21" t="e">
        <f>AND(#REF!,"AAAAAFP2y+Q=")</f>
        <v>#REF!</v>
      </c>
      <c r="HV21" t="e">
        <f>AND(#REF!,"AAAAAFP2y+U=")</f>
        <v>#REF!</v>
      </c>
      <c r="HW21" t="e">
        <f>AND(#REF!,"AAAAAFP2y+Y=")</f>
        <v>#REF!</v>
      </c>
      <c r="HX21" t="e">
        <f>AND(#REF!,"AAAAAFP2y+c=")</f>
        <v>#REF!</v>
      </c>
      <c r="HY21" t="e">
        <f>AND(#REF!,"AAAAAFP2y+g=")</f>
        <v>#REF!</v>
      </c>
      <c r="HZ21" t="e">
        <f>AND(#REF!,"AAAAAFP2y+k=")</f>
        <v>#REF!</v>
      </c>
      <c r="IA21" t="e">
        <f>AND(#REF!,"AAAAAFP2y+o=")</f>
        <v>#REF!</v>
      </c>
      <c r="IB21" t="e">
        <f>AND(#REF!,"AAAAAFP2y+s=")</f>
        <v>#REF!</v>
      </c>
      <c r="IC21" t="e">
        <f>AND(#REF!,"AAAAAFP2y+w=")</f>
        <v>#REF!</v>
      </c>
      <c r="ID21" t="e">
        <f>AND(#REF!,"AAAAAFP2y+0=")</f>
        <v>#REF!</v>
      </c>
      <c r="IE21" t="e">
        <f>IF(#REF!,"AAAAAFP2y+4=",0)</f>
        <v>#REF!</v>
      </c>
      <c r="IF21" t="e">
        <f>AND(#REF!,"AAAAAFP2y+8=")</f>
        <v>#REF!</v>
      </c>
      <c r="IG21" t="e">
        <f>AND(#REF!,"AAAAAFP2y/A=")</f>
        <v>#REF!</v>
      </c>
      <c r="IH21" t="e">
        <f>AND(#REF!,"AAAAAFP2y/E=")</f>
        <v>#REF!</v>
      </c>
      <c r="II21" t="e">
        <f>AND(#REF!,"AAAAAFP2y/I=")</f>
        <v>#REF!</v>
      </c>
      <c r="IJ21" t="e">
        <f>AND(#REF!,"AAAAAFP2y/M=")</f>
        <v>#REF!</v>
      </c>
      <c r="IK21" t="e">
        <f>AND(#REF!,"AAAAAFP2y/Q=")</f>
        <v>#REF!</v>
      </c>
      <c r="IL21" t="e">
        <f>AND(#REF!,"AAAAAFP2y/U=")</f>
        <v>#REF!</v>
      </c>
      <c r="IM21" t="e">
        <f>AND(#REF!,"AAAAAFP2y/Y=")</f>
        <v>#REF!</v>
      </c>
      <c r="IN21" t="e">
        <f>AND(#REF!,"AAAAAFP2y/c=")</f>
        <v>#REF!</v>
      </c>
      <c r="IO21" t="e">
        <f>AND(#REF!,"AAAAAFP2y/g=")</f>
        <v>#REF!</v>
      </c>
      <c r="IP21" t="e">
        <f>IF(#REF!,"AAAAAFP2y/k=",0)</f>
        <v>#REF!</v>
      </c>
      <c r="IQ21" t="e">
        <f>AND(#REF!,"AAAAAFP2y/o=")</f>
        <v>#REF!</v>
      </c>
      <c r="IR21" t="e">
        <f>AND(#REF!,"AAAAAFP2y/s=")</f>
        <v>#REF!</v>
      </c>
      <c r="IS21" t="e">
        <f>AND(#REF!,"AAAAAFP2y/w=")</f>
        <v>#REF!</v>
      </c>
      <c r="IT21" t="e">
        <f>AND(#REF!,"AAAAAFP2y/0=")</f>
        <v>#REF!</v>
      </c>
      <c r="IU21" t="e">
        <f>AND(#REF!,"AAAAAFP2y/4=")</f>
        <v>#REF!</v>
      </c>
      <c r="IV21" t="e">
        <f>AND(#REF!,"AAAAAFP2y/8=")</f>
        <v>#REF!</v>
      </c>
    </row>
    <row r="22" spans="1:256">
      <c r="A22" t="e">
        <f>AND(#REF!,"AAAAAF470gA=")</f>
        <v>#REF!</v>
      </c>
      <c r="B22" t="e">
        <f>AND(#REF!,"AAAAAF470gE=")</f>
        <v>#REF!</v>
      </c>
      <c r="C22" t="e">
        <f>AND(#REF!,"AAAAAF470gI=")</f>
        <v>#REF!</v>
      </c>
      <c r="D22" t="e">
        <f>AND(#REF!,"AAAAAF470gM=")</f>
        <v>#REF!</v>
      </c>
      <c r="E22" t="e">
        <f>IF(#REF!,"AAAAAF470gQ=",0)</f>
        <v>#REF!</v>
      </c>
      <c r="F22" t="e">
        <f>AND(#REF!,"AAAAAF470gU=")</f>
        <v>#REF!</v>
      </c>
      <c r="G22" t="e">
        <f>AND(#REF!,"AAAAAF470gY=")</f>
        <v>#REF!</v>
      </c>
      <c r="H22" t="e">
        <f>AND(#REF!,"AAAAAF470gc=")</f>
        <v>#REF!</v>
      </c>
      <c r="I22" t="e">
        <f>AND(#REF!,"AAAAAF470gg=")</f>
        <v>#REF!</v>
      </c>
      <c r="J22" t="e">
        <f>AND(#REF!,"AAAAAF470gk=")</f>
        <v>#REF!</v>
      </c>
      <c r="K22" t="e">
        <f>AND(#REF!,"AAAAAF470go=")</f>
        <v>#REF!</v>
      </c>
      <c r="L22" t="e">
        <f>AND(#REF!,"AAAAAF470gs=")</f>
        <v>#REF!</v>
      </c>
      <c r="M22" t="e">
        <f>AND(#REF!,"AAAAAF470gw=")</f>
        <v>#REF!</v>
      </c>
      <c r="N22" t="e">
        <f>AND(#REF!,"AAAAAF470g0=")</f>
        <v>#REF!</v>
      </c>
      <c r="O22" t="e">
        <f>AND(#REF!,"AAAAAF470g4=")</f>
        <v>#REF!</v>
      </c>
      <c r="P22" t="e">
        <f>IF(#REF!,"AAAAAF470g8=",0)</f>
        <v>#REF!</v>
      </c>
      <c r="Q22" t="e">
        <f>AND(#REF!,"AAAAAF470hA=")</f>
        <v>#REF!</v>
      </c>
      <c r="R22" t="e">
        <f>AND(#REF!,"AAAAAF470hE=")</f>
        <v>#REF!</v>
      </c>
      <c r="S22" t="e">
        <f>AND(#REF!,"AAAAAF470hI=")</f>
        <v>#REF!</v>
      </c>
      <c r="T22" t="e">
        <f>AND(#REF!,"AAAAAF470hM=")</f>
        <v>#REF!</v>
      </c>
      <c r="U22" t="e">
        <f>AND(#REF!,"AAAAAF470hQ=")</f>
        <v>#REF!</v>
      </c>
      <c r="V22" t="e">
        <f>AND(#REF!,"AAAAAF470hU=")</f>
        <v>#REF!</v>
      </c>
      <c r="W22" t="e">
        <f>AND(#REF!,"AAAAAF470hY=")</f>
        <v>#REF!</v>
      </c>
      <c r="X22" t="e">
        <f>AND(#REF!,"AAAAAF470hc=")</f>
        <v>#REF!</v>
      </c>
      <c r="Y22" t="e">
        <f>AND(#REF!,"AAAAAF470hg=")</f>
        <v>#REF!</v>
      </c>
      <c r="Z22" t="e">
        <f>AND(#REF!,"AAAAAF470hk=")</f>
        <v>#REF!</v>
      </c>
      <c r="AA22" t="e">
        <f>IF(#REF!,"AAAAAF470ho=",0)</f>
        <v>#REF!</v>
      </c>
      <c r="AB22" t="e">
        <f>AND(#REF!,"AAAAAF470hs=")</f>
        <v>#REF!</v>
      </c>
      <c r="AC22" t="e">
        <f>AND(#REF!,"AAAAAF470hw=")</f>
        <v>#REF!</v>
      </c>
      <c r="AD22" t="e">
        <f>AND(#REF!,"AAAAAF470h0=")</f>
        <v>#REF!</v>
      </c>
      <c r="AE22" t="e">
        <f>AND(#REF!,"AAAAAF470h4=")</f>
        <v>#REF!</v>
      </c>
      <c r="AF22" t="e">
        <f>AND(#REF!,"AAAAAF470h8=")</f>
        <v>#REF!</v>
      </c>
      <c r="AG22" t="e">
        <f>AND(#REF!,"AAAAAF470iA=")</f>
        <v>#REF!</v>
      </c>
      <c r="AH22" t="e">
        <f>AND(#REF!,"AAAAAF470iE=")</f>
        <v>#REF!</v>
      </c>
      <c r="AI22" t="e">
        <f>AND(#REF!,"AAAAAF470iI=")</f>
        <v>#REF!</v>
      </c>
      <c r="AJ22" t="e">
        <f>AND(#REF!,"AAAAAF470iM=")</f>
        <v>#REF!</v>
      </c>
      <c r="AK22" t="e">
        <f>AND(#REF!,"AAAAAF470iQ=")</f>
        <v>#REF!</v>
      </c>
      <c r="AL22" t="e">
        <f>IF(#REF!,"AAAAAF470iU=",0)</f>
        <v>#REF!</v>
      </c>
      <c r="AM22" t="e">
        <f>AND(#REF!,"AAAAAF470iY=")</f>
        <v>#REF!</v>
      </c>
      <c r="AN22" t="e">
        <f>AND(#REF!,"AAAAAF470ic=")</f>
        <v>#REF!</v>
      </c>
      <c r="AO22" t="e">
        <f>AND(#REF!,"AAAAAF470ig=")</f>
        <v>#REF!</v>
      </c>
      <c r="AP22" t="e">
        <f>AND(#REF!,"AAAAAF470ik=")</f>
        <v>#REF!</v>
      </c>
      <c r="AQ22" t="e">
        <f>AND(#REF!,"AAAAAF470io=")</f>
        <v>#REF!</v>
      </c>
      <c r="AR22" t="e">
        <f>AND(#REF!,"AAAAAF470is=")</f>
        <v>#REF!</v>
      </c>
      <c r="AS22" t="e">
        <f>AND(#REF!,"AAAAAF470iw=")</f>
        <v>#REF!</v>
      </c>
      <c r="AT22" t="e">
        <f>AND(#REF!,"AAAAAF470i0=")</f>
        <v>#REF!</v>
      </c>
      <c r="AU22" t="e">
        <f>AND(#REF!,"AAAAAF470i4=")</f>
        <v>#REF!</v>
      </c>
      <c r="AV22" t="e">
        <f>AND(#REF!,"AAAAAF470i8=")</f>
        <v>#REF!</v>
      </c>
      <c r="AW22" t="e">
        <f>IF(#REF!,"AAAAAF470jA=",0)</f>
        <v>#REF!</v>
      </c>
      <c r="AX22" t="e">
        <f>AND(#REF!,"AAAAAF470jE=")</f>
        <v>#REF!</v>
      </c>
      <c r="AY22" t="e">
        <f>AND(#REF!,"AAAAAF470jI=")</f>
        <v>#REF!</v>
      </c>
      <c r="AZ22" t="e">
        <f>AND(#REF!,"AAAAAF470jM=")</f>
        <v>#REF!</v>
      </c>
      <c r="BA22" t="e">
        <f>AND(#REF!,"AAAAAF470jQ=")</f>
        <v>#REF!</v>
      </c>
      <c r="BB22" t="e">
        <f>AND(#REF!,"AAAAAF470jU=")</f>
        <v>#REF!</v>
      </c>
      <c r="BC22" t="e">
        <f>AND(#REF!,"AAAAAF470jY=")</f>
        <v>#REF!</v>
      </c>
      <c r="BD22" t="e">
        <f>AND(#REF!,"AAAAAF470jc=")</f>
        <v>#REF!</v>
      </c>
      <c r="BE22" t="e">
        <f>AND(#REF!,"AAAAAF470jg=")</f>
        <v>#REF!</v>
      </c>
      <c r="BF22" t="e">
        <f>AND(#REF!,"AAAAAF470jk=")</f>
        <v>#REF!</v>
      </c>
      <c r="BG22" t="e">
        <f>AND(#REF!,"AAAAAF470jo=")</f>
        <v>#REF!</v>
      </c>
      <c r="BH22" t="e">
        <f>IF(#REF!,"AAAAAF470js=",0)</f>
        <v>#REF!</v>
      </c>
      <c r="BI22" t="e">
        <f>AND(#REF!,"AAAAAF470jw=")</f>
        <v>#REF!</v>
      </c>
      <c r="BJ22" t="e">
        <f>AND(#REF!,"AAAAAF470j0=")</f>
        <v>#REF!</v>
      </c>
      <c r="BK22" t="e">
        <f>AND(#REF!,"AAAAAF470j4=")</f>
        <v>#REF!</v>
      </c>
      <c r="BL22" t="e">
        <f>AND(#REF!,"AAAAAF470j8=")</f>
        <v>#REF!</v>
      </c>
      <c r="BM22" t="e">
        <f>AND(#REF!,"AAAAAF470kA=")</f>
        <v>#REF!</v>
      </c>
      <c r="BN22" t="e">
        <f>AND(#REF!,"AAAAAF470kE=")</f>
        <v>#REF!</v>
      </c>
      <c r="BO22" t="e">
        <f>AND(#REF!,"AAAAAF470kI=")</f>
        <v>#REF!</v>
      </c>
      <c r="BP22" t="e">
        <f>AND(#REF!,"AAAAAF470kM=")</f>
        <v>#REF!</v>
      </c>
      <c r="BQ22" t="e">
        <f>AND(#REF!,"AAAAAF470kQ=")</f>
        <v>#REF!</v>
      </c>
      <c r="BR22" t="e">
        <f>AND(#REF!,"AAAAAF470kU=")</f>
        <v>#REF!</v>
      </c>
      <c r="BS22" t="e">
        <f>IF(#REF!,"AAAAAF470kY=",0)</f>
        <v>#REF!</v>
      </c>
      <c r="BT22" t="e">
        <f>AND(#REF!,"AAAAAF470kc=")</f>
        <v>#REF!</v>
      </c>
      <c r="BU22" t="e">
        <f>AND(#REF!,"AAAAAF470kg=")</f>
        <v>#REF!</v>
      </c>
      <c r="BV22" t="e">
        <f>AND(#REF!,"AAAAAF470kk=")</f>
        <v>#REF!</v>
      </c>
      <c r="BW22" t="e">
        <f>AND(#REF!,"AAAAAF470ko=")</f>
        <v>#REF!</v>
      </c>
      <c r="BX22" t="e">
        <f>AND(#REF!,"AAAAAF470ks=")</f>
        <v>#REF!</v>
      </c>
      <c r="BY22" t="e">
        <f>AND(#REF!,"AAAAAF470kw=")</f>
        <v>#REF!</v>
      </c>
      <c r="BZ22" t="e">
        <f>AND(#REF!,"AAAAAF470k0=")</f>
        <v>#REF!</v>
      </c>
      <c r="CA22" t="e">
        <f>AND(#REF!,"AAAAAF470k4=")</f>
        <v>#REF!</v>
      </c>
      <c r="CB22" t="e">
        <f>AND(#REF!,"AAAAAF470k8=")</f>
        <v>#REF!</v>
      </c>
      <c r="CC22" t="e">
        <f>AND(#REF!,"AAAAAF470lA=")</f>
        <v>#REF!</v>
      </c>
      <c r="CD22" t="e">
        <f>IF(#REF!,"AAAAAF470lE=",0)</f>
        <v>#REF!</v>
      </c>
      <c r="CE22" t="e">
        <f>AND(#REF!,"AAAAAF470lI=")</f>
        <v>#REF!</v>
      </c>
      <c r="CF22" t="e">
        <f>AND(#REF!,"AAAAAF470lM=")</f>
        <v>#REF!</v>
      </c>
      <c r="CG22" t="e">
        <f>AND(#REF!,"AAAAAF470lQ=")</f>
        <v>#REF!</v>
      </c>
      <c r="CH22" t="e">
        <f>AND(#REF!,"AAAAAF470lU=")</f>
        <v>#REF!</v>
      </c>
      <c r="CI22" t="e">
        <f>AND(#REF!,"AAAAAF470lY=")</f>
        <v>#REF!</v>
      </c>
      <c r="CJ22" t="e">
        <f>AND(#REF!,"AAAAAF470lc=")</f>
        <v>#REF!</v>
      </c>
      <c r="CK22" t="e">
        <f>AND(#REF!,"AAAAAF470lg=")</f>
        <v>#REF!</v>
      </c>
      <c r="CL22" t="e">
        <f>AND(#REF!,"AAAAAF470lk=")</f>
        <v>#REF!</v>
      </c>
      <c r="CM22" t="e">
        <f>AND(#REF!,"AAAAAF470lo=")</f>
        <v>#REF!</v>
      </c>
      <c r="CN22" t="e">
        <f>AND(#REF!,"AAAAAF470ls=")</f>
        <v>#REF!</v>
      </c>
      <c r="CO22" t="e">
        <f>IF(#REF!,"AAAAAF470lw=",0)</f>
        <v>#REF!</v>
      </c>
      <c r="CP22" t="e">
        <f>AND(#REF!,"AAAAAF470l0=")</f>
        <v>#REF!</v>
      </c>
      <c r="CQ22" t="e">
        <f>AND(#REF!,"AAAAAF470l4=")</f>
        <v>#REF!</v>
      </c>
      <c r="CR22" t="e">
        <f>AND(#REF!,"AAAAAF470l8=")</f>
        <v>#REF!</v>
      </c>
      <c r="CS22" t="e">
        <f>AND(#REF!,"AAAAAF470mA=")</f>
        <v>#REF!</v>
      </c>
      <c r="CT22" t="e">
        <f>AND(#REF!,"AAAAAF470mE=")</f>
        <v>#REF!</v>
      </c>
      <c r="CU22" t="e">
        <f>AND(#REF!,"AAAAAF470mI=")</f>
        <v>#REF!</v>
      </c>
      <c r="CV22" t="e">
        <f>IF(#REF!,"AAAAAF470mM=",0)</f>
        <v>#REF!</v>
      </c>
      <c r="CW22" t="e">
        <f>AND(#REF!,"AAAAAF470mQ=")</f>
        <v>#REF!</v>
      </c>
      <c r="CX22" t="e">
        <f>AND(#REF!,"AAAAAF470mU=")</f>
        <v>#REF!</v>
      </c>
      <c r="CY22" t="e">
        <f>AND(#REF!,"AAAAAF470mY=")</f>
        <v>#REF!</v>
      </c>
      <c r="CZ22" t="e">
        <f>AND(#REF!,"AAAAAF470mc=")</f>
        <v>#REF!</v>
      </c>
      <c r="DA22" t="e">
        <f>AND(#REF!,"AAAAAF470mg=")</f>
        <v>#REF!</v>
      </c>
      <c r="DB22" t="e">
        <f>AND(#REF!,"AAAAAF470mk=")</f>
        <v>#REF!</v>
      </c>
      <c r="DC22" t="e">
        <f>IF(#REF!,"AAAAAF470mo=",0)</f>
        <v>#REF!</v>
      </c>
      <c r="DD22" t="e">
        <f>AND(#REF!,"AAAAAF470ms=")</f>
        <v>#REF!</v>
      </c>
      <c r="DE22" t="e">
        <f>AND(#REF!,"AAAAAF470mw=")</f>
        <v>#REF!</v>
      </c>
      <c r="DF22" t="e">
        <f>AND(#REF!,"AAAAAF470m0=")</f>
        <v>#REF!</v>
      </c>
      <c r="DG22" t="e">
        <f>AND(#REF!,"AAAAAF470m4=")</f>
        <v>#REF!</v>
      </c>
      <c r="DH22" t="e">
        <f>AND(#REF!,"AAAAAF470m8=")</f>
        <v>#REF!</v>
      </c>
      <c r="DI22" t="e">
        <f>AND(#REF!,"AAAAAF470nA=")</f>
        <v>#REF!</v>
      </c>
      <c r="DJ22" t="e">
        <f>IF(#REF!,"AAAAAF470nE=",0)</f>
        <v>#REF!</v>
      </c>
      <c r="DK22" t="e">
        <f>AND(#REF!,"AAAAAF470nI=")</f>
        <v>#REF!</v>
      </c>
      <c r="DL22" t="e">
        <f>AND(#REF!,"AAAAAF470nM=")</f>
        <v>#REF!</v>
      </c>
      <c r="DM22" t="e">
        <f>AND(#REF!,"AAAAAF470nQ=")</f>
        <v>#REF!</v>
      </c>
      <c r="DN22" t="e">
        <f>AND(#REF!,"AAAAAF470nU=")</f>
        <v>#REF!</v>
      </c>
      <c r="DO22" t="e">
        <f>AND(#REF!,"AAAAAF470nY=")</f>
        <v>#REF!</v>
      </c>
      <c r="DP22" t="e">
        <f>AND(#REF!,"AAAAAF470nc=")</f>
        <v>#REF!</v>
      </c>
      <c r="DQ22" t="e">
        <f>IF(#REF!,"AAAAAF470ng=",0)</f>
        <v>#REF!</v>
      </c>
      <c r="DR22" t="e">
        <f>AND(#REF!,"AAAAAF470nk=")</f>
        <v>#REF!</v>
      </c>
      <c r="DS22" t="e">
        <f>AND(#REF!,"AAAAAF470no=")</f>
        <v>#REF!</v>
      </c>
      <c r="DT22" t="e">
        <f>AND(#REF!,"AAAAAF470ns=")</f>
        <v>#REF!</v>
      </c>
      <c r="DU22" t="e">
        <f>AND(#REF!,"AAAAAF470nw=")</f>
        <v>#REF!</v>
      </c>
      <c r="DV22" t="e">
        <f>AND(#REF!,"AAAAAF470n0=")</f>
        <v>#REF!</v>
      </c>
      <c r="DW22" t="e">
        <f>AND(#REF!,"AAAAAF470n4=")</f>
        <v>#REF!</v>
      </c>
      <c r="DX22" t="e">
        <f>IF(#REF!,"AAAAAF470n8=",0)</f>
        <v>#REF!</v>
      </c>
      <c r="DY22" t="e">
        <f>IF(#REF!,"AAAAAF470oA=",0)</f>
        <v>#REF!</v>
      </c>
      <c r="DZ22" t="e">
        <f>IF(#REF!,"AAAAAF470oE=",0)</f>
        <v>#REF!</v>
      </c>
      <c r="EA22" t="e">
        <f>IF(#REF!,"AAAAAF470oI=",0)</f>
        <v>#REF!</v>
      </c>
      <c r="EB22" t="e">
        <f>IF(#REF!,"AAAAAF470oM=",0)</f>
        <v>#REF!</v>
      </c>
      <c r="EC22" t="e">
        <f>IF(#REF!,"AAAAAF470oQ=",0)</f>
        <v>#REF!</v>
      </c>
      <c r="ED22" t="e">
        <f>IF(#REF!,"AAAAAF470oU=",0)</f>
        <v>#REF!</v>
      </c>
      <c r="EE22" t="e">
        <f>IF(#REF!,"AAAAAF470oY=",0)</f>
        <v>#REF!</v>
      </c>
      <c r="EF22" t="e">
        <f>IF(#REF!,"AAAAAF470oc=",0)</f>
        <v>#REF!</v>
      </c>
      <c r="EG22" t="e">
        <f>IF(#REF!,"AAAAAF470og=",0)</f>
        <v>#REF!</v>
      </c>
      <c r="EH22" t="e">
        <f>IF(#REF!,"AAAAAF470ok=",0)</f>
        <v>#REF!</v>
      </c>
      <c r="EI22" t="e">
        <f>AND(#REF!,"AAAAAF470oo=")</f>
        <v>#REF!</v>
      </c>
      <c r="EJ22" t="e">
        <f>AND(#REF!,"AAAAAF470os=")</f>
        <v>#REF!</v>
      </c>
      <c r="EK22" t="e">
        <f>AND(#REF!,"AAAAAF470ow=")</f>
        <v>#REF!</v>
      </c>
      <c r="EL22" t="e">
        <f>AND(#REF!,"AAAAAF470o0=")</f>
        <v>#REF!</v>
      </c>
      <c r="EM22" t="e">
        <f>AND(#REF!,"AAAAAF470o4=")</f>
        <v>#REF!</v>
      </c>
      <c r="EN22" t="e">
        <f>AND(#REF!,"AAAAAF470o8=")</f>
        <v>#REF!</v>
      </c>
      <c r="EO22" t="e">
        <f>AND(#REF!,"AAAAAF470pA=")</f>
        <v>#REF!</v>
      </c>
      <c r="EP22" t="e">
        <f>AND(#REF!,"AAAAAF470pE=")</f>
        <v>#REF!</v>
      </c>
      <c r="EQ22" t="e">
        <f>AND(#REF!,"AAAAAF470pI=")</f>
        <v>#REF!</v>
      </c>
      <c r="ER22" t="e">
        <f>AND(#REF!,"AAAAAF470pM=")</f>
        <v>#REF!</v>
      </c>
      <c r="ES22" t="e">
        <f>AND(#REF!,"AAAAAF470pQ=")</f>
        <v>#REF!</v>
      </c>
      <c r="ET22" t="e">
        <f>IF(#REF!,"AAAAAF470pU=",0)</f>
        <v>#REF!</v>
      </c>
      <c r="EU22" t="e">
        <f>AND(#REF!,"AAAAAF470pY=")</f>
        <v>#REF!</v>
      </c>
      <c r="EV22" t="e">
        <f>AND(#REF!,"AAAAAF470pc=")</f>
        <v>#REF!</v>
      </c>
      <c r="EW22" t="e">
        <f>AND(#REF!,"AAAAAF470pg=")</f>
        <v>#REF!</v>
      </c>
      <c r="EX22" t="e">
        <f>AND(#REF!,"AAAAAF470pk=")</f>
        <v>#REF!</v>
      </c>
      <c r="EY22" t="e">
        <f>AND(#REF!,"AAAAAF470po=")</f>
        <v>#REF!</v>
      </c>
      <c r="EZ22" t="e">
        <f>AND(#REF!,"AAAAAF470ps=")</f>
        <v>#REF!</v>
      </c>
      <c r="FA22" t="e">
        <f>AND(#REF!,"AAAAAF470pw=")</f>
        <v>#REF!</v>
      </c>
      <c r="FB22" t="e">
        <f>AND(#REF!,"AAAAAF470p0=")</f>
        <v>#REF!</v>
      </c>
      <c r="FC22" t="e">
        <f>AND(#REF!,"AAAAAF470p4=")</f>
        <v>#REF!</v>
      </c>
      <c r="FD22" t="e">
        <f>AND(#REF!,"AAAAAF470p8=")</f>
        <v>#REF!</v>
      </c>
      <c r="FE22" t="e">
        <f>AND(#REF!,"AAAAAF470qA=")</f>
        <v>#REF!</v>
      </c>
      <c r="FF22" t="e">
        <f>IF(#REF!,"AAAAAF470qE=",0)</f>
        <v>#REF!</v>
      </c>
      <c r="FG22" t="e">
        <f>AND(#REF!,"AAAAAF470qI=")</f>
        <v>#REF!</v>
      </c>
      <c r="FH22" t="e">
        <f>AND(#REF!,"AAAAAF470qM=")</f>
        <v>#REF!</v>
      </c>
      <c r="FI22" t="e">
        <f>AND(#REF!,"AAAAAF470qQ=")</f>
        <v>#REF!</v>
      </c>
      <c r="FJ22" t="e">
        <f>AND(#REF!,"AAAAAF470qU=")</f>
        <v>#REF!</v>
      </c>
      <c r="FK22" t="e">
        <f>AND(#REF!,"AAAAAF470qY=")</f>
        <v>#REF!</v>
      </c>
      <c r="FL22" t="e">
        <f>AND(#REF!,"AAAAAF470qc=")</f>
        <v>#REF!</v>
      </c>
      <c r="FM22" t="e">
        <f>AND(#REF!,"AAAAAF470qg=")</f>
        <v>#REF!</v>
      </c>
      <c r="FN22" t="e">
        <f>AND(#REF!,"AAAAAF470qk=")</f>
        <v>#REF!</v>
      </c>
      <c r="FO22" t="e">
        <f>AND(#REF!,"AAAAAF470qo=")</f>
        <v>#REF!</v>
      </c>
      <c r="FP22" t="e">
        <f>AND(#REF!,"AAAAAF470qs=")</f>
        <v>#REF!</v>
      </c>
      <c r="FQ22" t="e">
        <f>AND(#REF!,"AAAAAF470qw=")</f>
        <v>#REF!</v>
      </c>
      <c r="FR22" t="e">
        <f>IF(#REF!,"AAAAAF470q0=",0)</f>
        <v>#REF!</v>
      </c>
      <c r="FS22" t="e">
        <f>AND(#REF!,"AAAAAF470q4=")</f>
        <v>#REF!</v>
      </c>
      <c r="FT22" t="e">
        <f>AND(#REF!,"AAAAAF470q8=")</f>
        <v>#REF!</v>
      </c>
      <c r="FU22" t="e">
        <f>AND(#REF!,"AAAAAF470rA=")</f>
        <v>#REF!</v>
      </c>
      <c r="FV22" t="e">
        <f>AND(#REF!,"AAAAAF470rE=")</f>
        <v>#REF!</v>
      </c>
      <c r="FW22" t="e">
        <f>AND(#REF!,"AAAAAF470rI=")</f>
        <v>#REF!</v>
      </c>
      <c r="FX22" t="e">
        <f>AND(#REF!,"AAAAAF470rM=")</f>
        <v>#REF!</v>
      </c>
      <c r="FY22" t="e">
        <f>AND(#REF!,"AAAAAF470rQ=")</f>
        <v>#REF!</v>
      </c>
      <c r="FZ22" t="e">
        <f>AND(#REF!,"AAAAAF470rU=")</f>
        <v>#REF!</v>
      </c>
      <c r="GA22" t="e">
        <f>AND(#REF!,"AAAAAF470rY=")</f>
        <v>#REF!</v>
      </c>
      <c r="GB22" t="e">
        <f>AND(#REF!,"AAAAAF470rc=")</f>
        <v>#REF!</v>
      </c>
      <c r="GC22" t="e">
        <f>AND(#REF!,"AAAAAF470rg=")</f>
        <v>#REF!</v>
      </c>
      <c r="GD22" t="e">
        <f>IF(#REF!,"AAAAAF470rk=",0)</f>
        <v>#REF!</v>
      </c>
      <c r="GE22" t="e">
        <f>AND(#REF!,"AAAAAF470ro=")</f>
        <v>#REF!</v>
      </c>
      <c r="GF22" t="e">
        <f>AND(#REF!,"AAAAAF470rs=")</f>
        <v>#REF!</v>
      </c>
      <c r="GG22" t="e">
        <f>AND(#REF!,"AAAAAF470rw=")</f>
        <v>#REF!</v>
      </c>
      <c r="GH22" t="e">
        <f>AND(#REF!,"AAAAAF470r0=")</f>
        <v>#REF!</v>
      </c>
      <c r="GI22" t="e">
        <f>AND(#REF!,"AAAAAF470r4=")</f>
        <v>#REF!</v>
      </c>
      <c r="GJ22" t="e">
        <f>AND(#REF!,"AAAAAF470r8=")</f>
        <v>#REF!</v>
      </c>
      <c r="GK22" t="e">
        <f>AND(#REF!,"AAAAAF470sA=")</f>
        <v>#REF!</v>
      </c>
      <c r="GL22" t="e">
        <f>AND(#REF!,"AAAAAF470sE=")</f>
        <v>#REF!</v>
      </c>
      <c r="GM22" t="e">
        <f>AND(#REF!,"AAAAAF470sI=")</f>
        <v>#REF!</v>
      </c>
      <c r="GN22" t="e">
        <f>AND(#REF!,"AAAAAF470sM=")</f>
        <v>#REF!</v>
      </c>
      <c r="GO22" t="e">
        <f>AND(#REF!,"AAAAAF470sQ=")</f>
        <v>#REF!</v>
      </c>
      <c r="GP22" t="e">
        <f>IF(#REF!,"AAAAAF470sU=",0)</f>
        <v>#REF!</v>
      </c>
      <c r="GQ22" t="e">
        <f>AND(#REF!,"AAAAAF470sY=")</f>
        <v>#REF!</v>
      </c>
      <c r="GR22" t="e">
        <f>AND(#REF!,"AAAAAF470sc=")</f>
        <v>#REF!</v>
      </c>
      <c r="GS22" t="e">
        <f>AND(#REF!,"AAAAAF470sg=")</f>
        <v>#REF!</v>
      </c>
      <c r="GT22" t="e">
        <f>AND(#REF!,"AAAAAF470sk=")</f>
        <v>#REF!</v>
      </c>
      <c r="GU22" t="e">
        <f>AND(#REF!,"AAAAAF470so=")</f>
        <v>#REF!</v>
      </c>
      <c r="GV22" t="e">
        <f>AND(#REF!,"AAAAAF470ss=")</f>
        <v>#REF!</v>
      </c>
      <c r="GW22" t="e">
        <f>AND(#REF!,"AAAAAF470sw=")</f>
        <v>#REF!</v>
      </c>
      <c r="GX22" t="e">
        <f>AND(#REF!,"AAAAAF470s0=")</f>
        <v>#REF!</v>
      </c>
      <c r="GY22" t="e">
        <f>AND(#REF!,"AAAAAF470s4=")</f>
        <v>#REF!</v>
      </c>
      <c r="GZ22" t="e">
        <f>AND(#REF!,"AAAAAF470s8=")</f>
        <v>#REF!</v>
      </c>
      <c r="HA22" t="e">
        <f>AND(#REF!,"AAAAAF470tA=")</f>
        <v>#REF!</v>
      </c>
      <c r="HB22" t="e">
        <f>IF(#REF!,"AAAAAF470tE=",0)</f>
        <v>#REF!</v>
      </c>
      <c r="HC22" t="e">
        <f>AND(#REF!,"AAAAAF470tI=")</f>
        <v>#REF!</v>
      </c>
      <c r="HD22" t="e">
        <f>AND(#REF!,"AAAAAF470tM=")</f>
        <v>#REF!</v>
      </c>
      <c r="HE22" t="e">
        <f>AND(#REF!,"AAAAAF470tQ=")</f>
        <v>#REF!</v>
      </c>
      <c r="HF22" t="e">
        <f>AND(#REF!,"AAAAAF470tU=")</f>
        <v>#REF!</v>
      </c>
      <c r="HG22" t="e">
        <f>AND(#REF!,"AAAAAF470tY=")</f>
        <v>#REF!</v>
      </c>
      <c r="HH22" t="e">
        <f>AND(#REF!,"AAAAAF470tc=")</f>
        <v>#REF!</v>
      </c>
      <c r="HI22" t="e">
        <f>AND(#REF!,"AAAAAF470tg=")</f>
        <v>#REF!</v>
      </c>
      <c r="HJ22" t="e">
        <f>AND(#REF!,"AAAAAF470tk=")</f>
        <v>#REF!</v>
      </c>
      <c r="HK22" t="e">
        <f>AND(#REF!,"AAAAAF470to=")</f>
        <v>#REF!</v>
      </c>
      <c r="HL22" t="e">
        <f>AND(#REF!,"AAAAAF470ts=")</f>
        <v>#REF!</v>
      </c>
      <c r="HM22" t="e">
        <f>AND(#REF!,"AAAAAF470tw=")</f>
        <v>#REF!</v>
      </c>
      <c r="HN22" t="e">
        <f>IF(#REF!,"AAAAAF470t0=",0)</f>
        <v>#REF!</v>
      </c>
      <c r="HO22" t="e">
        <f>AND(#REF!,"AAAAAF470t4=")</f>
        <v>#REF!</v>
      </c>
      <c r="HP22" t="e">
        <f>AND(#REF!,"AAAAAF470t8=")</f>
        <v>#REF!</v>
      </c>
      <c r="HQ22" t="e">
        <f>AND(#REF!,"AAAAAF470uA=")</f>
        <v>#REF!</v>
      </c>
      <c r="HR22" t="e">
        <f>AND(#REF!,"AAAAAF470uE=")</f>
        <v>#REF!</v>
      </c>
      <c r="HS22" t="e">
        <f>AND(#REF!,"AAAAAF470uI=")</f>
        <v>#REF!</v>
      </c>
      <c r="HT22" t="e">
        <f>AND(#REF!,"AAAAAF470uM=")</f>
        <v>#REF!</v>
      </c>
      <c r="HU22" t="e">
        <f>AND(#REF!,"AAAAAF470uQ=")</f>
        <v>#REF!</v>
      </c>
      <c r="HV22" t="e">
        <f>AND(#REF!,"AAAAAF470uU=")</f>
        <v>#REF!</v>
      </c>
      <c r="HW22" t="e">
        <f>AND(#REF!,"AAAAAF470uY=")</f>
        <v>#REF!</v>
      </c>
      <c r="HX22" t="e">
        <f>AND(#REF!,"AAAAAF470uc=")</f>
        <v>#REF!</v>
      </c>
      <c r="HY22" t="e">
        <f>AND(#REF!,"AAAAAF470ug=")</f>
        <v>#REF!</v>
      </c>
      <c r="HZ22" t="e">
        <f>IF(#REF!,"AAAAAF470uk=",0)</f>
        <v>#REF!</v>
      </c>
      <c r="IA22" t="e">
        <f>AND(#REF!,"AAAAAF470uo=")</f>
        <v>#REF!</v>
      </c>
      <c r="IB22" t="e">
        <f>AND(#REF!,"AAAAAF470us=")</f>
        <v>#REF!</v>
      </c>
      <c r="IC22" t="e">
        <f>AND(#REF!,"AAAAAF470uw=")</f>
        <v>#REF!</v>
      </c>
      <c r="ID22" t="e">
        <f>AND(#REF!,"AAAAAF470u0=")</f>
        <v>#REF!</v>
      </c>
      <c r="IE22" t="e">
        <f>AND(#REF!,"AAAAAF470u4=")</f>
        <v>#REF!</v>
      </c>
      <c r="IF22" t="e">
        <f>AND(#REF!,"AAAAAF470u8=")</f>
        <v>#REF!</v>
      </c>
      <c r="IG22" t="e">
        <f>AND(#REF!,"AAAAAF470vA=")</f>
        <v>#REF!</v>
      </c>
      <c r="IH22" t="e">
        <f>AND(#REF!,"AAAAAF470vE=")</f>
        <v>#REF!</v>
      </c>
      <c r="II22" t="e">
        <f>AND(#REF!,"AAAAAF470vI=")</f>
        <v>#REF!</v>
      </c>
      <c r="IJ22" t="e">
        <f>AND(#REF!,"AAAAAF470vM=")</f>
        <v>#REF!</v>
      </c>
      <c r="IK22" t="e">
        <f>AND(#REF!,"AAAAAF470vQ=")</f>
        <v>#REF!</v>
      </c>
      <c r="IL22" t="e">
        <f>IF(#REF!,"AAAAAF470vU=",0)</f>
        <v>#REF!</v>
      </c>
      <c r="IM22" t="e">
        <f>AND(#REF!,"AAAAAF470vY=")</f>
        <v>#REF!</v>
      </c>
      <c r="IN22" t="e">
        <f>AND(#REF!,"AAAAAF470vc=")</f>
        <v>#REF!</v>
      </c>
      <c r="IO22" t="e">
        <f>AND(#REF!,"AAAAAF470vg=")</f>
        <v>#REF!</v>
      </c>
      <c r="IP22" t="e">
        <f>AND(#REF!,"AAAAAF470vk=")</f>
        <v>#REF!</v>
      </c>
      <c r="IQ22" t="e">
        <f>AND(#REF!,"AAAAAF470vo=")</f>
        <v>#REF!</v>
      </c>
      <c r="IR22" t="e">
        <f>AND(#REF!,"AAAAAF470vs=")</f>
        <v>#REF!</v>
      </c>
      <c r="IS22" t="e">
        <f>AND(#REF!,"AAAAAF470vw=")</f>
        <v>#REF!</v>
      </c>
      <c r="IT22" t="e">
        <f>AND(#REF!,"AAAAAF470v0=")</f>
        <v>#REF!</v>
      </c>
      <c r="IU22" t="e">
        <f>AND(#REF!,"AAAAAF470v4=")</f>
        <v>#REF!</v>
      </c>
      <c r="IV22" t="e">
        <f>AND(#REF!,"AAAAAF470v8=")</f>
        <v>#REF!</v>
      </c>
    </row>
    <row r="23" spans="1:256">
      <c r="A23" t="e">
        <f>AND(#REF!,"AAAAAD7eHwA=")</f>
        <v>#REF!</v>
      </c>
      <c r="B23" t="e">
        <f>IF(#REF!,"AAAAAD7eHwE=",0)</f>
        <v>#REF!</v>
      </c>
      <c r="C23" t="e">
        <f>AND(#REF!,"AAAAAD7eHwI=")</f>
        <v>#REF!</v>
      </c>
      <c r="D23" t="e">
        <f>AND(#REF!,"AAAAAD7eHwM=")</f>
        <v>#REF!</v>
      </c>
      <c r="E23" t="e">
        <f>AND(#REF!,"AAAAAD7eHwQ=")</f>
        <v>#REF!</v>
      </c>
      <c r="F23" t="e">
        <f>AND(#REF!,"AAAAAD7eHwU=")</f>
        <v>#REF!</v>
      </c>
      <c r="G23" t="e">
        <f>AND(#REF!,"AAAAAD7eHwY=")</f>
        <v>#REF!</v>
      </c>
      <c r="H23" t="e">
        <f>AND(#REF!,"AAAAAD7eHwc=")</f>
        <v>#REF!</v>
      </c>
      <c r="I23" t="e">
        <f>AND(#REF!,"AAAAAD7eHwg=")</f>
        <v>#REF!</v>
      </c>
      <c r="J23" t="e">
        <f>AND(#REF!,"AAAAAD7eHwk=")</f>
        <v>#REF!</v>
      </c>
      <c r="K23" t="e">
        <f>AND(#REF!,"AAAAAD7eHwo=")</f>
        <v>#REF!</v>
      </c>
      <c r="L23" t="e">
        <f>AND(#REF!,"AAAAAD7eHws=")</f>
        <v>#REF!</v>
      </c>
      <c r="M23" t="e">
        <f>AND(#REF!,"AAAAAD7eHww=")</f>
        <v>#REF!</v>
      </c>
      <c r="N23" t="e">
        <f>IF(#REF!,"AAAAAD7eHw0=",0)</f>
        <v>#REF!</v>
      </c>
      <c r="O23" t="e">
        <f>AND(#REF!,"AAAAAD7eHw4=")</f>
        <v>#REF!</v>
      </c>
      <c r="P23" t="e">
        <f>AND(#REF!,"AAAAAD7eHw8=")</f>
        <v>#REF!</v>
      </c>
      <c r="Q23" t="e">
        <f>AND(#REF!,"AAAAAD7eHxA=")</f>
        <v>#REF!</v>
      </c>
      <c r="R23" t="e">
        <f>AND(#REF!,"AAAAAD7eHxE=")</f>
        <v>#REF!</v>
      </c>
      <c r="S23" t="e">
        <f>AND(#REF!,"AAAAAD7eHxI=")</f>
        <v>#REF!</v>
      </c>
      <c r="T23" t="e">
        <f>AND(#REF!,"AAAAAD7eHxM=")</f>
        <v>#REF!</v>
      </c>
      <c r="U23" t="e">
        <f>AND(#REF!,"AAAAAD7eHxQ=")</f>
        <v>#REF!</v>
      </c>
      <c r="V23" t="e">
        <f>AND(#REF!,"AAAAAD7eHxU=")</f>
        <v>#REF!</v>
      </c>
      <c r="W23" t="e">
        <f>AND(#REF!,"AAAAAD7eHxY=")</f>
        <v>#REF!</v>
      </c>
      <c r="X23" t="e">
        <f>AND(#REF!,"AAAAAD7eHxc=")</f>
        <v>#REF!</v>
      </c>
      <c r="Y23" t="e">
        <f>AND(#REF!,"AAAAAD7eHxg=")</f>
        <v>#REF!</v>
      </c>
      <c r="Z23" t="e">
        <f>IF(#REF!,"AAAAAD7eHxk=",0)</f>
        <v>#REF!</v>
      </c>
      <c r="AA23" t="e">
        <f>AND(#REF!,"AAAAAD7eHxo=")</f>
        <v>#REF!</v>
      </c>
      <c r="AB23" t="e">
        <f>AND(#REF!,"AAAAAD7eHxs=")</f>
        <v>#REF!</v>
      </c>
      <c r="AC23" t="e">
        <f>AND(#REF!,"AAAAAD7eHxw=")</f>
        <v>#REF!</v>
      </c>
      <c r="AD23" t="e">
        <f>AND(#REF!,"AAAAAD7eHx0=")</f>
        <v>#REF!</v>
      </c>
      <c r="AE23" t="e">
        <f>AND(#REF!,"AAAAAD7eHx4=")</f>
        <v>#REF!</v>
      </c>
      <c r="AF23" t="e">
        <f>AND(#REF!,"AAAAAD7eHx8=")</f>
        <v>#REF!</v>
      </c>
      <c r="AG23" t="e">
        <f>AND(#REF!,"AAAAAD7eHyA=")</f>
        <v>#REF!</v>
      </c>
      <c r="AH23" t="e">
        <f>AND(#REF!,"AAAAAD7eHyE=")</f>
        <v>#REF!</v>
      </c>
      <c r="AI23" t="e">
        <f>AND(#REF!,"AAAAAD7eHyI=")</f>
        <v>#REF!</v>
      </c>
      <c r="AJ23" t="e">
        <f>AND(#REF!,"AAAAAD7eHyM=")</f>
        <v>#REF!</v>
      </c>
      <c r="AK23" t="e">
        <f>AND(#REF!,"AAAAAD7eHyQ=")</f>
        <v>#REF!</v>
      </c>
      <c r="AL23" t="e">
        <f>IF(#REF!,"AAAAAD7eHyU=",0)</f>
        <v>#REF!</v>
      </c>
      <c r="AM23" t="e">
        <f>AND(#REF!,"AAAAAD7eHyY=")</f>
        <v>#REF!</v>
      </c>
      <c r="AN23" t="e">
        <f>AND(#REF!,"AAAAAD7eHyc=")</f>
        <v>#REF!</v>
      </c>
      <c r="AO23" t="e">
        <f>AND(#REF!,"AAAAAD7eHyg=")</f>
        <v>#REF!</v>
      </c>
      <c r="AP23" t="e">
        <f>AND(#REF!,"AAAAAD7eHyk=")</f>
        <v>#REF!</v>
      </c>
      <c r="AQ23" t="e">
        <f>AND(#REF!,"AAAAAD7eHyo=")</f>
        <v>#REF!</v>
      </c>
      <c r="AR23" t="e">
        <f>AND(#REF!,"AAAAAD7eHys=")</f>
        <v>#REF!</v>
      </c>
      <c r="AS23" t="e">
        <f>AND(#REF!,"AAAAAD7eHyw=")</f>
        <v>#REF!</v>
      </c>
      <c r="AT23" t="e">
        <f>AND(#REF!,"AAAAAD7eHy0=")</f>
        <v>#REF!</v>
      </c>
      <c r="AU23" t="e">
        <f>AND(#REF!,"AAAAAD7eHy4=")</f>
        <v>#REF!</v>
      </c>
      <c r="AV23" t="e">
        <f>AND(#REF!,"AAAAAD7eHy8=")</f>
        <v>#REF!</v>
      </c>
      <c r="AW23" t="e">
        <f>AND(#REF!,"AAAAAD7eHzA=")</f>
        <v>#REF!</v>
      </c>
      <c r="AX23" t="e">
        <f>IF(#REF!,"AAAAAD7eHzE=",0)</f>
        <v>#REF!</v>
      </c>
      <c r="AY23" t="e">
        <f>AND(#REF!,"AAAAAD7eHzI=")</f>
        <v>#REF!</v>
      </c>
      <c r="AZ23" t="e">
        <f>AND(#REF!,"AAAAAD7eHzM=")</f>
        <v>#REF!</v>
      </c>
      <c r="BA23" t="e">
        <f>AND(#REF!,"AAAAAD7eHzQ=")</f>
        <v>#REF!</v>
      </c>
      <c r="BB23" t="e">
        <f>AND(#REF!,"AAAAAD7eHzU=")</f>
        <v>#REF!</v>
      </c>
      <c r="BC23" t="e">
        <f>AND(#REF!,"AAAAAD7eHzY=")</f>
        <v>#REF!</v>
      </c>
      <c r="BD23" t="e">
        <f>AND(#REF!,"AAAAAD7eHzc=")</f>
        <v>#REF!</v>
      </c>
      <c r="BE23" t="e">
        <f>AND(#REF!,"AAAAAD7eHzg=")</f>
        <v>#REF!</v>
      </c>
      <c r="BF23" t="e">
        <f>AND(#REF!,"AAAAAD7eHzk=")</f>
        <v>#REF!</v>
      </c>
      <c r="BG23" t="e">
        <f>AND(#REF!,"AAAAAD7eHzo=")</f>
        <v>#REF!</v>
      </c>
      <c r="BH23" t="e">
        <f>AND(#REF!,"AAAAAD7eHzs=")</f>
        <v>#REF!</v>
      </c>
      <c r="BI23" t="e">
        <f>AND(#REF!,"AAAAAD7eHzw=")</f>
        <v>#REF!</v>
      </c>
      <c r="BJ23" t="e">
        <f>IF(#REF!,"AAAAAD7eHz0=",0)</f>
        <v>#REF!</v>
      </c>
      <c r="BK23" t="e">
        <f>AND(#REF!,"AAAAAD7eHz4=")</f>
        <v>#REF!</v>
      </c>
      <c r="BL23" t="e">
        <f>AND(#REF!,"AAAAAD7eHz8=")</f>
        <v>#REF!</v>
      </c>
      <c r="BM23" t="e">
        <f>AND(#REF!,"AAAAAD7eH0A=")</f>
        <v>#REF!</v>
      </c>
      <c r="BN23" t="e">
        <f>AND(#REF!,"AAAAAD7eH0E=")</f>
        <v>#REF!</v>
      </c>
      <c r="BO23" t="e">
        <f>AND(#REF!,"AAAAAD7eH0I=")</f>
        <v>#REF!</v>
      </c>
      <c r="BP23" t="e">
        <f>AND(#REF!,"AAAAAD7eH0M=")</f>
        <v>#REF!</v>
      </c>
      <c r="BQ23" t="e">
        <f>AND(#REF!,"AAAAAD7eH0Q=")</f>
        <v>#REF!</v>
      </c>
      <c r="BR23" t="e">
        <f>AND(#REF!,"AAAAAD7eH0U=")</f>
        <v>#REF!</v>
      </c>
      <c r="BS23" t="e">
        <f>AND(#REF!,"AAAAAD7eH0Y=")</f>
        <v>#REF!</v>
      </c>
      <c r="BT23" t="e">
        <f>AND(#REF!,"AAAAAD7eH0c=")</f>
        <v>#REF!</v>
      </c>
      <c r="BU23" t="e">
        <f>AND(#REF!,"AAAAAD7eH0g=")</f>
        <v>#REF!</v>
      </c>
      <c r="BV23" t="e">
        <f>IF(#REF!,"AAAAAD7eH0k=",0)</f>
        <v>#REF!</v>
      </c>
      <c r="BW23" t="e">
        <f>AND(#REF!,"AAAAAD7eH0o=")</f>
        <v>#REF!</v>
      </c>
      <c r="BX23" t="e">
        <f>AND(#REF!,"AAAAAD7eH0s=")</f>
        <v>#REF!</v>
      </c>
      <c r="BY23" t="e">
        <f>AND(#REF!,"AAAAAD7eH0w=")</f>
        <v>#REF!</v>
      </c>
      <c r="BZ23" t="e">
        <f>AND(#REF!,"AAAAAD7eH00=")</f>
        <v>#REF!</v>
      </c>
      <c r="CA23" t="e">
        <f>AND(#REF!,"AAAAAD7eH04=")</f>
        <v>#REF!</v>
      </c>
      <c r="CB23" t="e">
        <f>AND(#REF!,"AAAAAD7eH08=")</f>
        <v>#REF!</v>
      </c>
      <c r="CC23" t="e">
        <f>AND(#REF!,"AAAAAD7eH1A=")</f>
        <v>#REF!</v>
      </c>
      <c r="CD23" t="e">
        <f>AND(#REF!,"AAAAAD7eH1E=")</f>
        <v>#REF!</v>
      </c>
      <c r="CE23" t="e">
        <f>AND(#REF!,"AAAAAD7eH1I=")</f>
        <v>#REF!</v>
      </c>
      <c r="CF23" t="e">
        <f>AND(#REF!,"AAAAAD7eH1M=")</f>
        <v>#REF!</v>
      </c>
      <c r="CG23" t="e">
        <f>AND(#REF!,"AAAAAD7eH1Q=")</f>
        <v>#REF!</v>
      </c>
      <c r="CH23" t="e">
        <f>IF(#REF!,"AAAAAD7eH1U=",0)</f>
        <v>#REF!</v>
      </c>
      <c r="CI23" t="e">
        <f>AND(#REF!,"AAAAAD7eH1Y=")</f>
        <v>#REF!</v>
      </c>
      <c r="CJ23" t="e">
        <f>AND(#REF!,"AAAAAD7eH1c=")</f>
        <v>#REF!</v>
      </c>
      <c r="CK23" t="e">
        <f>AND(#REF!,"AAAAAD7eH1g=")</f>
        <v>#REF!</v>
      </c>
      <c r="CL23" t="e">
        <f>AND(#REF!,"AAAAAD7eH1k=")</f>
        <v>#REF!</v>
      </c>
      <c r="CM23" t="e">
        <f>AND(#REF!,"AAAAAD7eH1o=")</f>
        <v>#REF!</v>
      </c>
      <c r="CN23" t="e">
        <f>AND(#REF!,"AAAAAD7eH1s=")</f>
        <v>#REF!</v>
      </c>
      <c r="CO23" t="e">
        <f>AND(#REF!,"AAAAAD7eH1w=")</f>
        <v>#REF!</v>
      </c>
      <c r="CP23" t="e">
        <f>AND(#REF!,"AAAAAD7eH10=")</f>
        <v>#REF!</v>
      </c>
      <c r="CQ23" t="e">
        <f>AND(#REF!,"AAAAAD7eH14=")</f>
        <v>#REF!</v>
      </c>
      <c r="CR23" t="e">
        <f>AND(#REF!,"AAAAAD7eH18=")</f>
        <v>#REF!</v>
      </c>
      <c r="CS23" t="e">
        <f>AND(#REF!,"AAAAAD7eH2A=")</f>
        <v>#REF!</v>
      </c>
      <c r="CT23" t="e">
        <f>IF(#REF!,"AAAAAD7eH2E=",0)</f>
        <v>#REF!</v>
      </c>
      <c r="CU23" t="e">
        <f>AND(#REF!,"AAAAAD7eH2I=")</f>
        <v>#REF!</v>
      </c>
      <c r="CV23" t="e">
        <f>AND(#REF!,"AAAAAD7eH2M=")</f>
        <v>#REF!</v>
      </c>
      <c r="CW23" t="e">
        <f>AND(#REF!,"AAAAAD7eH2Q=")</f>
        <v>#REF!</v>
      </c>
      <c r="CX23" t="e">
        <f>AND(#REF!,"AAAAAD7eH2U=")</f>
        <v>#REF!</v>
      </c>
      <c r="CY23" t="e">
        <f>AND(#REF!,"AAAAAD7eH2Y=")</f>
        <v>#REF!</v>
      </c>
      <c r="CZ23" t="e">
        <f>AND(#REF!,"AAAAAD7eH2c=")</f>
        <v>#REF!</v>
      </c>
      <c r="DA23" t="e">
        <f>AND(#REF!,"AAAAAD7eH2g=")</f>
        <v>#REF!</v>
      </c>
      <c r="DB23" t="e">
        <f>AND(#REF!,"AAAAAD7eH2k=")</f>
        <v>#REF!</v>
      </c>
      <c r="DC23" t="e">
        <f>AND(#REF!,"AAAAAD7eH2o=")</f>
        <v>#REF!</v>
      </c>
      <c r="DD23" t="e">
        <f>AND(#REF!,"AAAAAD7eH2s=")</f>
        <v>#REF!</v>
      </c>
      <c r="DE23" t="e">
        <f>AND(#REF!,"AAAAAD7eH2w=")</f>
        <v>#REF!</v>
      </c>
      <c r="DF23" t="e">
        <f>IF(#REF!,"AAAAAD7eH20=",0)</f>
        <v>#REF!</v>
      </c>
      <c r="DG23" t="e">
        <f>AND(#REF!,"AAAAAD7eH24=")</f>
        <v>#REF!</v>
      </c>
      <c r="DH23" t="e">
        <f>AND(#REF!,"AAAAAD7eH28=")</f>
        <v>#REF!</v>
      </c>
      <c r="DI23" t="e">
        <f>AND(#REF!,"AAAAAD7eH3A=")</f>
        <v>#REF!</v>
      </c>
      <c r="DJ23" t="e">
        <f>AND(#REF!,"AAAAAD7eH3E=")</f>
        <v>#REF!</v>
      </c>
      <c r="DK23" t="e">
        <f>AND(#REF!,"AAAAAD7eH3I=")</f>
        <v>#REF!</v>
      </c>
      <c r="DL23" t="e">
        <f>AND(#REF!,"AAAAAD7eH3M=")</f>
        <v>#REF!</v>
      </c>
      <c r="DM23" t="e">
        <f>AND(#REF!,"AAAAAD7eH3Q=")</f>
        <v>#REF!</v>
      </c>
      <c r="DN23" t="e">
        <f>AND(#REF!,"AAAAAD7eH3U=")</f>
        <v>#REF!</v>
      </c>
      <c r="DO23" t="e">
        <f>AND(#REF!,"AAAAAD7eH3Y=")</f>
        <v>#REF!</v>
      </c>
      <c r="DP23" t="e">
        <f>AND(#REF!,"AAAAAD7eH3c=")</f>
        <v>#REF!</v>
      </c>
      <c r="DQ23" t="e">
        <f>AND(#REF!,"AAAAAD7eH3g=")</f>
        <v>#REF!</v>
      </c>
      <c r="DR23" t="e">
        <f>IF(#REF!,"AAAAAD7eH3k=",0)</f>
        <v>#REF!</v>
      </c>
      <c r="DS23" t="e">
        <f>AND(#REF!,"AAAAAD7eH3o=")</f>
        <v>#REF!</v>
      </c>
      <c r="DT23" t="e">
        <f>AND(#REF!,"AAAAAD7eH3s=")</f>
        <v>#REF!</v>
      </c>
      <c r="DU23" t="e">
        <f>AND(#REF!,"AAAAAD7eH3w=")</f>
        <v>#REF!</v>
      </c>
      <c r="DV23" t="e">
        <f>AND(#REF!,"AAAAAD7eH30=")</f>
        <v>#REF!</v>
      </c>
      <c r="DW23" t="e">
        <f>AND(#REF!,"AAAAAD7eH34=")</f>
        <v>#REF!</v>
      </c>
      <c r="DX23" t="e">
        <f>AND(#REF!,"AAAAAD7eH38=")</f>
        <v>#REF!</v>
      </c>
      <c r="DY23" t="e">
        <f>AND(#REF!,"AAAAAD7eH4A=")</f>
        <v>#REF!</v>
      </c>
      <c r="DZ23" t="e">
        <f>AND(#REF!,"AAAAAD7eH4E=")</f>
        <v>#REF!</v>
      </c>
      <c r="EA23" t="e">
        <f>AND(#REF!,"AAAAAD7eH4I=")</f>
        <v>#REF!</v>
      </c>
      <c r="EB23" t="e">
        <f>AND(#REF!,"AAAAAD7eH4M=")</f>
        <v>#REF!</v>
      </c>
      <c r="EC23" t="e">
        <f>AND(#REF!,"AAAAAD7eH4Q=")</f>
        <v>#REF!</v>
      </c>
      <c r="ED23" t="e">
        <f>IF(#REF!,"AAAAAD7eH4U=",0)</f>
        <v>#REF!</v>
      </c>
      <c r="EE23" t="e">
        <f>AND(#REF!,"AAAAAD7eH4Y=")</f>
        <v>#REF!</v>
      </c>
      <c r="EF23" t="e">
        <f>AND(#REF!,"AAAAAD7eH4c=")</f>
        <v>#REF!</v>
      </c>
      <c r="EG23" t="e">
        <f>AND(#REF!,"AAAAAD7eH4g=")</f>
        <v>#REF!</v>
      </c>
      <c r="EH23" t="e">
        <f>AND(#REF!,"AAAAAD7eH4k=")</f>
        <v>#REF!</v>
      </c>
      <c r="EI23" t="e">
        <f>AND(#REF!,"AAAAAD7eH4o=")</f>
        <v>#REF!</v>
      </c>
      <c r="EJ23" t="e">
        <f>AND(#REF!,"AAAAAD7eH4s=")</f>
        <v>#REF!</v>
      </c>
      <c r="EK23" t="e">
        <f>AND(#REF!,"AAAAAD7eH4w=")</f>
        <v>#REF!</v>
      </c>
      <c r="EL23" t="e">
        <f>AND(#REF!,"AAAAAD7eH40=")</f>
        <v>#REF!</v>
      </c>
      <c r="EM23" t="e">
        <f>AND(#REF!,"AAAAAD7eH44=")</f>
        <v>#REF!</v>
      </c>
      <c r="EN23" t="e">
        <f>AND(#REF!,"AAAAAD7eH48=")</f>
        <v>#REF!</v>
      </c>
      <c r="EO23" t="e">
        <f>AND(#REF!,"AAAAAD7eH5A=")</f>
        <v>#REF!</v>
      </c>
      <c r="EP23" t="e">
        <f>IF(#REF!,"AAAAAD7eH5E=",0)</f>
        <v>#REF!</v>
      </c>
      <c r="EQ23" t="e">
        <f>AND(#REF!,"AAAAAD7eH5I=")</f>
        <v>#REF!</v>
      </c>
      <c r="ER23" t="e">
        <f>AND(#REF!,"AAAAAD7eH5M=")</f>
        <v>#REF!</v>
      </c>
      <c r="ES23" t="e">
        <f>AND(#REF!,"AAAAAD7eH5Q=")</f>
        <v>#REF!</v>
      </c>
      <c r="ET23" t="e">
        <f>AND(#REF!,"AAAAAD7eH5U=")</f>
        <v>#REF!</v>
      </c>
      <c r="EU23" t="e">
        <f>AND(#REF!,"AAAAAD7eH5Y=")</f>
        <v>#REF!</v>
      </c>
      <c r="EV23" t="e">
        <f>AND(#REF!,"AAAAAD7eH5c=")</f>
        <v>#REF!</v>
      </c>
      <c r="EW23" t="e">
        <f>AND(#REF!,"AAAAAD7eH5g=")</f>
        <v>#REF!</v>
      </c>
      <c r="EX23" t="e">
        <f>AND(#REF!,"AAAAAD7eH5k=")</f>
        <v>#REF!</v>
      </c>
      <c r="EY23" t="e">
        <f>AND(#REF!,"AAAAAD7eH5o=")</f>
        <v>#REF!</v>
      </c>
      <c r="EZ23" t="e">
        <f>AND(#REF!,"AAAAAD7eH5s=")</f>
        <v>#REF!</v>
      </c>
      <c r="FA23" t="e">
        <f>AND(#REF!,"AAAAAD7eH5w=")</f>
        <v>#REF!</v>
      </c>
      <c r="FB23" t="e">
        <f>IF(#REF!,"AAAAAD7eH50=",0)</f>
        <v>#REF!</v>
      </c>
      <c r="FC23" t="e">
        <f>AND(#REF!,"AAAAAD7eH54=")</f>
        <v>#REF!</v>
      </c>
      <c r="FD23" t="e">
        <f>AND(#REF!,"AAAAAD7eH58=")</f>
        <v>#REF!</v>
      </c>
      <c r="FE23" t="e">
        <f>AND(#REF!,"AAAAAD7eH6A=")</f>
        <v>#REF!</v>
      </c>
      <c r="FF23" t="e">
        <f>AND(#REF!,"AAAAAD7eH6E=")</f>
        <v>#REF!</v>
      </c>
      <c r="FG23" t="e">
        <f>AND(#REF!,"AAAAAD7eH6I=")</f>
        <v>#REF!</v>
      </c>
      <c r="FH23" t="e">
        <f>AND(#REF!,"AAAAAD7eH6M=")</f>
        <v>#REF!</v>
      </c>
      <c r="FI23" t="e">
        <f>AND(#REF!,"AAAAAD7eH6Q=")</f>
        <v>#REF!</v>
      </c>
      <c r="FJ23" t="e">
        <f>AND(#REF!,"AAAAAD7eH6U=")</f>
        <v>#REF!</v>
      </c>
      <c r="FK23" t="e">
        <f>AND(#REF!,"AAAAAD7eH6Y=")</f>
        <v>#REF!</v>
      </c>
      <c r="FL23" t="e">
        <f>AND(#REF!,"AAAAAD7eH6c=")</f>
        <v>#REF!</v>
      </c>
      <c r="FM23" t="e">
        <f>AND(#REF!,"AAAAAD7eH6g=")</f>
        <v>#REF!</v>
      </c>
      <c r="FN23" t="e">
        <f>IF(#REF!,"AAAAAD7eH6k=",0)</f>
        <v>#REF!</v>
      </c>
      <c r="FO23" t="e">
        <f>AND(#REF!,"AAAAAD7eH6o=")</f>
        <v>#REF!</v>
      </c>
      <c r="FP23" t="e">
        <f>AND(#REF!,"AAAAAD7eH6s=")</f>
        <v>#REF!</v>
      </c>
      <c r="FQ23" t="e">
        <f>AND(#REF!,"AAAAAD7eH6w=")</f>
        <v>#REF!</v>
      </c>
      <c r="FR23" t="e">
        <f>AND(#REF!,"AAAAAD7eH60=")</f>
        <v>#REF!</v>
      </c>
      <c r="FS23" t="e">
        <f>AND(#REF!,"AAAAAD7eH64=")</f>
        <v>#REF!</v>
      </c>
      <c r="FT23" t="e">
        <f>AND(#REF!,"AAAAAD7eH68=")</f>
        <v>#REF!</v>
      </c>
      <c r="FU23" t="e">
        <f>AND(#REF!,"AAAAAD7eH7A=")</f>
        <v>#REF!</v>
      </c>
      <c r="FV23" t="e">
        <f>AND(#REF!,"AAAAAD7eH7E=")</f>
        <v>#REF!</v>
      </c>
      <c r="FW23" t="e">
        <f>AND(#REF!,"AAAAAD7eH7I=")</f>
        <v>#REF!</v>
      </c>
      <c r="FX23" t="e">
        <f>AND(#REF!,"AAAAAD7eH7M=")</f>
        <v>#REF!</v>
      </c>
      <c r="FY23" t="e">
        <f>AND(#REF!,"AAAAAD7eH7Q=")</f>
        <v>#REF!</v>
      </c>
      <c r="FZ23" t="e">
        <f>IF(#REF!,"AAAAAD7eH7U=",0)</f>
        <v>#REF!</v>
      </c>
      <c r="GA23" t="e">
        <f>AND(#REF!,"AAAAAD7eH7Y=")</f>
        <v>#REF!</v>
      </c>
      <c r="GB23" t="e">
        <f>AND(#REF!,"AAAAAD7eH7c=")</f>
        <v>#REF!</v>
      </c>
      <c r="GC23" t="e">
        <f>AND(#REF!,"AAAAAD7eH7g=")</f>
        <v>#REF!</v>
      </c>
      <c r="GD23" t="e">
        <f>AND(#REF!,"AAAAAD7eH7k=")</f>
        <v>#REF!</v>
      </c>
      <c r="GE23" t="e">
        <f>AND(#REF!,"AAAAAD7eH7o=")</f>
        <v>#REF!</v>
      </c>
      <c r="GF23" t="e">
        <f>AND(#REF!,"AAAAAD7eH7s=")</f>
        <v>#REF!</v>
      </c>
      <c r="GG23" t="e">
        <f>AND(#REF!,"AAAAAD7eH7w=")</f>
        <v>#REF!</v>
      </c>
      <c r="GH23" t="e">
        <f>AND(#REF!,"AAAAAD7eH70=")</f>
        <v>#REF!</v>
      </c>
      <c r="GI23" t="e">
        <f>AND(#REF!,"AAAAAD7eH74=")</f>
        <v>#REF!</v>
      </c>
      <c r="GJ23" t="e">
        <f>AND(#REF!,"AAAAAD7eH78=")</f>
        <v>#REF!</v>
      </c>
      <c r="GK23" t="e">
        <f>AND(#REF!,"AAAAAD7eH8A=")</f>
        <v>#REF!</v>
      </c>
      <c r="GL23" t="e">
        <f>IF(#REF!,"AAAAAD7eH8E=",0)</f>
        <v>#REF!</v>
      </c>
      <c r="GM23" t="e">
        <f>AND(#REF!,"AAAAAD7eH8I=")</f>
        <v>#REF!</v>
      </c>
      <c r="GN23" t="e">
        <f>AND(#REF!,"AAAAAD7eH8M=")</f>
        <v>#REF!</v>
      </c>
      <c r="GO23" t="e">
        <f>AND(#REF!,"AAAAAD7eH8Q=")</f>
        <v>#REF!</v>
      </c>
      <c r="GP23" t="e">
        <f>AND(#REF!,"AAAAAD7eH8U=")</f>
        <v>#REF!</v>
      </c>
      <c r="GQ23" t="e">
        <f>AND(#REF!,"AAAAAD7eH8Y=")</f>
        <v>#REF!</v>
      </c>
      <c r="GR23" t="e">
        <f>AND(#REF!,"AAAAAD7eH8c=")</f>
        <v>#REF!</v>
      </c>
      <c r="GS23" t="e">
        <f>AND(#REF!,"AAAAAD7eH8g=")</f>
        <v>#REF!</v>
      </c>
      <c r="GT23" t="e">
        <f>AND(#REF!,"AAAAAD7eH8k=")</f>
        <v>#REF!</v>
      </c>
      <c r="GU23" t="e">
        <f>AND(#REF!,"AAAAAD7eH8o=")</f>
        <v>#REF!</v>
      </c>
      <c r="GV23" t="e">
        <f>AND(#REF!,"AAAAAD7eH8s=")</f>
        <v>#REF!</v>
      </c>
      <c r="GW23" t="e">
        <f>AND(#REF!,"AAAAAD7eH8w=")</f>
        <v>#REF!</v>
      </c>
      <c r="GX23" t="e">
        <f>IF(#REF!,"AAAAAD7eH80=",0)</f>
        <v>#REF!</v>
      </c>
      <c r="GY23" t="e">
        <f>AND(#REF!,"AAAAAD7eH84=")</f>
        <v>#REF!</v>
      </c>
      <c r="GZ23" t="e">
        <f>AND(#REF!,"AAAAAD7eH88=")</f>
        <v>#REF!</v>
      </c>
      <c r="HA23" t="e">
        <f>AND(#REF!,"AAAAAD7eH9A=")</f>
        <v>#REF!</v>
      </c>
      <c r="HB23" t="e">
        <f>AND(#REF!,"AAAAAD7eH9E=")</f>
        <v>#REF!</v>
      </c>
      <c r="HC23" t="e">
        <f>AND(#REF!,"AAAAAD7eH9I=")</f>
        <v>#REF!</v>
      </c>
      <c r="HD23" t="e">
        <f>AND(#REF!,"AAAAAD7eH9M=")</f>
        <v>#REF!</v>
      </c>
      <c r="HE23" t="e">
        <f>AND(#REF!,"AAAAAD7eH9Q=")</f>
        <v>#REF!</v>
      </c>
      <c r="HF23" t="e">
        <f>AND(#REF!,"AAAAAD7eH9U=")</f>
        <v>#REF!</v>
      </c>
      <c r="HG23" t="e">
        <f>AND(#REF!,"AAAAAD7eH9Y=")</f>
        <v>#REF!</v>
      </c>
      <c r="HH23" t="e">
        <f>AND(#REF!,"AAAAAD7eH9c=")</f>
        <v>#REF!</v>
      </c>
      <c r="HI23" t="e">
        <f>AND(#REF!,"AAAAAD7eH9g=")</f>
        <v>#REF!</v>
      </c>
      <c r="HJ23" t="e">
        <f>IF(#REF!,"AAAAAD7eH9k=",0)</f>
        <v>#REF!</v>
      </c>
      <c r="HK23" t="e">
        <f>AND(#REF!,"AAAAAD7eH9o=")</f>
        <v>#REF!</v>
      </c>
      <c r="HL23" t="e">
        <f>AND(#REF!,"AAAAAD7eH9s=")</f>
        <v>#REF!</v>
      </c>
      <c r="HM23" t="e">
        <f>AND(#REF!,"AAAAAD7eH9w=")</f>
        <v>#REF!</v>
      </c>
      <c r="HN23" t="e">
        <f>AND(#REF!,"AAAAAD7eH90=")</f>
        <v>#REF!</v>
      </c>
      <c r="HO23" t="e">
        <f>AND(#REF!,"AAAAAD7eH94=")</f>
        <v>#REF!</v>
      </c>
      <c r="HP23" t="e">
        <f>AND(#REF!,"AAAAAD7eH98=")</f>
        <v>#REF!</v>
      </c>
      <c r="HQ23" t="e">
        <f>AND(#REF!,"AAAAAD7eH+A=")</f>
        <v>#REF!</v>
      </c>
      <c r="HR23" t="e">
        <f>AND(#REF!,"AAAAAD7eH+E=")</f>
        <v>#REF!</v>
      </c>
      <c r="HS23" t="e">
        <f>AND(#REF!,"AAAAAD7eH+I=")</f>
        <v>#REF!</v>
      </c>
      <c r="HT23" t="e">
        <f>AND(#REF!,"AAAAAD7eH+M=")</f>
        <v>#REF!</v>
      </c>
      <c r="HU23" t="e">
        <f>AND(#REF!,"AAAAAD7eH+Q=")</f>
        <v>#REF!</v>
      </c>
      <c r="HV23" t="e">
        <f>IF(#REF!,"AAAAAD7eH+U=",0)</f>
        <v>#REF!</v>
      </c>
      <c r="HW23" t="e">
        <f>AND(#REF!,"AAAAAD7eH+Y=")</f>
        <v>#REF!</v>
      </c>
      <c r="HX23" t="e">
        <f>AND(#REF!,"AAAAAD7eH+c=")</f>
        <v>#REF!</v>
      </c>
      <c r="HY23" t="e">
        <f>AND(#REF!,"AAAAAD7eH+g=")</f>
        <v>#REF!</v>
      </c>
      <c r="HZ23" t="e">
        <f>AND(#REF!,"AAAAAD7eH+k=")</f>
        <v>#REF!</v>
      </c>
      <c r="IA23" t="e">
        <f>AND(#REF!,"AAAAAD7eH+o=")</f>
        <v>#REF!</v>
      </c>
      <c r="IB23" t="e">
        <f>AND(#REF!,"AAAAAD7eH+s=")</f>
        <v>#REF!</v>
      </c>
      <c r="IC23" t="e">
        <f>AND(#REF!,"AAAAAD7eH+w=")</f>
        <v>#REF!</v>
      </c>
      <c r="ID23" t="e">
        <f>AND(#REF!,"AAAAAD7eH+0=")</f>
        <v>#REF!</v>
      </c>
      <c r="IE23" t="e">
        <f>AND(#REF!,"AAAAAD7eH+4=")</f>
        <v>#REF!</v>
      </c>
      <c r="IF23" t="e">
        <f>AND(#REF!,"AAAAAD7eH+8=")</f>
        <v>#REF!</v>
      </c>
      <c r="IG23" t="e">
        <f>AND(#REF!,"AAAAAD7eH/A=")</f>
        <v>#REF!</v>
      </c>
      <c r="IH23" t="e">
        <f>IF(#REF!,"AAAAAD7eH/E=",0)</f>
        <v>#REF!</v>
      </c>
      <c r="II23" t="e">
        <f>AND(#REF!,"AAAAAD7eH/I=")</f>
        <v>#REF!</v>
      </c>
      <c r="IJ23" t="e">
        <f>AND(#REF!,"AAAAAD7eH/M=")</f>
        <v>#REF!</v>
      </c>
      <c r="IK23" t="e">
        <f>AND(#REF!,"AAAAAD7eH/Q=")</f>
        <v>#REF!</v>
      </c>
      <c r="IL23" t="e">
        <f>AND(#REF!,"AAAAAD7eH/U=")</f>
        <v>#REF!</v>
      </c>
      <c r="IM23" t="e">
        <f>AND(#REF!,"AAAAAD7eH/Y=")</f>
        <v>#REF!</v>
      </c>
      <c r="IN23" t="e">
        <f>AND(#REF!,"AAAAAD7eH/c=")</f>
        <v>#REF!</v>
      </c>
      <c r="IO23" t="e">
        <f>IF(#REF!,"AAAAAD7eH/g=",0)</f>
        <v>#REF!</v>
      </c>
      <c r="IP23" t="e">
        <f>AND(#REF!,"AAAAAD7eH/k=")</f>
        <v>#REF!</v>
      </c>
      <c r="IQ23" t="e">
        <f>AND(#REF!,"AAAAAD7eH/o=")</f>
        <v>#REF!</v>
      </c>
      <c r="IR23" t="e">
        <f>AND(#REF!,"AAAAAD7eH/s=")</f>
        <v>#REF!</v>
      </c>
      <c r="IS23" t="e">
        <f>AND(#REF!,"AAAAAD7eH/w=")</f>
        <v>#REF!</v>
      </c>
      <c r="IT23" t="e">
        <f>AND(#REF!,"AAAAAD7eH/0=")</f>
        <v>#REF!</v>
      </c>
      <c r="IU23" t="e">
        <f>AND(#REF!,"AAAAAD7eH/4=")</f>
        <v>#REF!</v>
      </c>
      <c r="IV23" t="e">
        <f>IF(#REF!,"AAAAAD7eH/8=",0)</f>
        <v>#REF!</v>
      </c>
    </row>
    <row r="24" spans="1:256">
      <c r="A24" t="e">
        <f>AND(#REF!,"AAAAAHnfawA=")</f>
        <v>#REF!</v>
      </c>
      <c r="B24" t="e">
        <f>AND(#REF!,"AAAAAHnfawE=")</f>
        <v>#REF!</v>
      </c>
      <c r="C24" t="e">
        <f>AND(#REF!,"AAAAAHnfawI=")</f>
        <v>#REF!</v>
      </c>
      <c r="D24" t="e">
        <f>AND(#REF!,"AAAAAHnfawM=")</f>
        <v>#REF!</v>
      </c>
      <c r="E24" t="e">
        <f>AND(#REF!,"AAAAAHnfawQ=")</f>
        <v>#REF!</v>
      </c>
      <c r="F24" t="e">
        <f>AND(#REF!,"AAAAAHnfawU=")</f>
        <v>#REF!</v>
      </c>
      <c r="G24" t="e">
        <f>IF(#REF!,"AAAAAHnfawY=",0)</f>
        <v>#REF!</v>
      </c>
      <c r="H24" t="e">
        <f>AND(#REF!,"AAAAAHnfawc=")</f>
        <v>#REF!</v>
      </c>
      <c r="I24" t="e">
        <f>AND(#REF!,"AAAAAHnfawg=")</f>
        <v>#REF!</v>
      </c>
      <c r="J24" t="e">
        <f>AND(#REF!,"AAAAAHnfawk=")</f>
        <v>#REF!</v>
      </c>
      <c r="K24" t="e">
        <f>AND(#REF!,"AAAAAHnfawo=")</f>
        <v>#REF!</v>
      </c>
      <c r="L24" t="e">
        <f>AND(#REF!,"AAAAAHnfaws=")</f>
        <v>#REF!</v>
      </c>
      <c r="M24" t="e">
        <f>AND(#REF!,"AAAAAHnfaww=")</f>
        <v>#REF!</v>
      </c>
      <c r="N24" t="e">
        <f>IF(#REF!,"AAAAAHnfaw0=",0)</f>
        <v>#REF!</v>
      </c>
      <c r="O24" t="e">
        <f>IF(#REF!,"AAAAAHnfaw4=",0)</f>
        <v>#REF!</v>
      </c>
      <c r="P24" t="e">
        <f>IF(#REF!,"AAAAAHnfaw8=",0)</f>
        <v>#REF!</v>
      </c>
      <c r="Q24" t="e">
        <f>IF(#REF!,"AAAAAHnfaxA=",0)</f>
        <v>#REF!</v>
      </c>
      <c r="R24" t="e">
        <f>IF(#REF!,"AAAAAHnfaxE=",0)</f>
        <v>#REF!</v>
      </c>
      <c r="S24" t="e">
        <f>IF(#REF!,"AAAAAHnfaxI=",0)</f>
        <v>#REF!</v>
      </c>
      <c r="T24" t="e">
        <f>IF(#REF!,"AAAAAHnfaxM=",0)</f>
        <v>#REF!</v>
      </c>
      <c r="U24" t="e">
        <f>IF(#REF!,"AAAAAHnfaxQ=",0)</f>
        <v>#REF!</v>
      </c>
      <c r="V24" t="e">
        <f>IF(#REF!,"AAAAAHnfaxU=",0)</f>
        <v>#REF!</v>
      </c>
      <c r="W24" t="e">
        <f>IF(#REF!,"AAAAAHnfaxY=",0)</f>
        <v>#REF!</v>
      </c>
      <c r="X24" t="e">
        <f>IF(#REF!,"AAAAAHnfaxc=",0)</f>
        <v>#REF!</v>
      </c>
      <c r="Y24" t="e">
        <f>IF(#REF!,"AAAAAHnfaxg=",0)</f>
        <v>#REF!</v>
      </c>
      <c r="Z24" t="e">
        <f>AND(#REF!,"AAAAAHnfaxk=")</f>
        <v>#REF!</v>
      </c>
      <c r="AA24" t="e">
        <f>AND(#REF!,"AAAAAHnfaxo=")</f>
        <v>#REF!</v>
      </c>
      <c r="AB24" t="e">
        <f>AND(#REF!,"AAAAAHnfaxs=")</f>
        <v>#REF!</v>
      </c>
      <c r="AC24" t="e">
        <f>AND(#REF!,"AAAAAHnfaxw=")</f>
        <v>#REF!</v>
      </c>
      <c r="AD24" t="e">
        <f>AND(#REF!,"AAAAAHnfax0=")</f>
        <v>#REF!</v>
      </c>
      <c r="AE24" t="e">
        <f>AND(#REF!,"AAAAAHnfax4=")</f>
        <v>#REF!</v>
      </c>
      <c r="AF24" t="e">
        <f>AND(#REF!,"AAAAAHnfax8=")</f>
        <v>#REF!</v>
      </c>
      <c r="AG24" t="e">
        <f>AND(#REF!,"AAAAAHnfayA=")</f>
        <v>#REF!</v>
      </c>
      <c r="AH24" t="e">
        <f>AND(#REF!,"AAAAAHnfayE=")</f>
        <v>#REF!</v>
      </c>
      <c r="AI24" t="e">
        <f>AND(#REF!,"AAAAAHnfayI=")</f>
        <v>#REF!</v>
      </c>
      <c r="AJ24" t="e">
        <f>AND(#REF!,"AAAAAHnfayM=")</f>
        <v>#REF!</v>
      </c>
      <c r="AK24" t="e">
        <f>IF(#REF!,"AAAAAHnfayQ=",0)</f>
        <v>#REF!</v>
      </c>
      <c r="AL24" t="e">
        <f>AND(#REF!,"AAAAAHnfayU=")</f>
        <v>#REF!</v>
      </c>
      <c r="AM24" t="e">
        <f>AND(#REF!,"AAAAAHnfayY=")</f>
        <v>#REF!</v>
      </c>
      <c r="AN24" t="e">
        <f>AND(#REF!,"AAAAAHnfayc=")</f>
        <v>#REF!</v>
      </c>
      <c r="AO24" t="e">
        <f>AND(#REF!,"AAAAAHnfayg=")</f>
        <v>#REF!</v>
      </c>
      <c r="AP24" t="e">
        <f>AND(#REF!,"AAAAAHnfayk=")</f>
        <v>#REF!</v>
      </c>
      <c r="AQ24" t="e">
        <f>AND(#REF!,"AAAAAHnfayo=")</f>
        <v>#REF!</v>
      </c>
      <c r="AR24" t="e">
        <f>AND(#REF!,"AAAAAHnfays=")</f>
        <v>#REF!</v>
      </c>
      <c r="AS24" t="e">
        <f>AND(#REF!,"AAAAAHnfayw=")</f>
        <v>#REF!</v>
      </c>
      <c r="AT24" t="e">
        <f>AND(#REF!,"AAAAAHnfay0=")</f>
        <v>#REF!</v>
      </c>
      <c r="AU24" t="e">
        <f>AND(#REF!,"AAAAAHnfay4=")</f>
        <v>#REF!</v>
      </c>
      <c r="AV24" t="e">
        <f>AND(#REF!,"AAAAAHnfay8=")</f>
        <v>#REF!</v>
      </c>
      <c r="AW24" t="e">
        <f>IF(#REF!,"AAAAAHnfazA=",0)</f>
        <v>#REF!</v>
      </c>
      <c r="AX24" t="e">
        <f>AND(#REF!,"AAAAAHnfazE=")</f>
        <v>#REF!</v>
      </c>
      <c r="AY24" t="e">
        <f>AND(#REF!,"AAAAAHnfazI=")</f>
        <v>#REF!</v>
      </c>
      <c r="AZ24" t="e">
        <f>AND(#REF!,"AAAAAHnfazM=")</f>
        <v>#REF!</v>
      </c>
      <c r="BA24" t="e">
        <f>AND(#REF!,"AAAAAHnfazQ=")</f>
        <v>#REF!</v>
      </c>
      <c r="BB24" t="e">
        <f>AND(#REF!,"AAAAAHnfazU=")</f>
        <v>#REF!</v>
      </c>
      <c r="BC24" t="e">
        <f>AND(#REF!,"AAAAAHnfazY=")</f>
        <v>#REF!</v>
      </c>
      <c r="BD24" t="e">
        <f>AND(#REF!,"AAAAAHnfazc=")</f>
        <v>#REF!</v>
      </c>
      <c r="BE24" t="e">
        <f>AND(#REF!,"AAAAAHnfazg=")</f>
        <v>#REF!</v>
      </c>
      <c r="BF24" t="e">
        <f>AND(#REF!,"AAAAAHnfazk=")</f>
        <v>#REF!</v>
      </c>
      <c r="BG24" t="e">
        <f>AND(#REF!,"AAAAAHnfazo=")</f>
        <v>#REF!</v>
      </c>
      <c r="BH24" t="e">
        <f>AND(#REF!,"AAAAAHnfazs=")</f>
        <v>#REF!</v>
      </c>
      <c r="BI24" t="e">
        <f>IF(#REF!,"AAAAAHnfazw=",0)</f>
        <v>#REF!</v>
      </c>
      <c r="BJ24" t="e">
        <f>AND(#REF!,"AAAAAHnfaz0=")</f>
        <v>#REF!</v>
      </c>
      <c r="BK24" t="e">
        <f>AND(#REF!,"AAAAAHnfaz4=")</f>
        <v>#REF!</v>
      </c>
      <c r="BL24" t="e">
        <f>AND(#REF!,"AAAAAHnfaz8=")</f>
        <v>#REF!</v>
      </c>
      <c r="BM24" t="e">
        <f>AND(#REF!,"AAAAAHnfa0A=")</f>
        <v>#REF!</v>
      </c>
      <c r="BN24" t="e">
        <f>AND(#REF!,"AAAAAHnfa0E=")</f>
        <v>#REF!</v>
      </c>
      <c r="BO24" t="e">
        <f>AND(#REF!,"AAAAAHnfa0I=")</f>
        <v>#REF!</v>
      </c>
      <c r="BP24" t="e">
        <f>AND(#REF!,"AAAAAHnfa0M=")</f>
        <v>#REF!</v>
      </c>
      <c r="BQ24" t="e">
        <f>AND(#REF!,"AAAAAHnfa0Q=")</f>
        <v>#REF!</v>
      </c>
      <c r="BR24" t="e">
        <f>AND(#REF!,"AAAAAHnfa0U=")</f>
        <v>#REF!</v>
      </c>
      <c r="BS24" t="e">
        <f>AND(#REF!,"AAAAAHnfa0Y=")</f>
        <v>#REF!</v>
      </c>
      <c r="BT24" t="e">
        <f>AND(#REF!,"AAAAAHnfa0c=")</f>
        <v>#REF!</v>
      </c>
      <c r="BU24" t="e">
        <f>IF(#REF!,"AAAAAHnfa0g=",0)</f>
        <v>#REF!</v>
      </c>
      <c r="BV24" t="e">
        <f>AND(#REF!,"AAAAAHnfa0k=")</f>
        <v>#REF!</v>
      </c>
      <c r="BW24" t="e">
        <f>AND(#REF!,"AAAAAHnfa0o=")</f>
        <v>#REF!</v>
      </c>
      <c r="BX24" t="e">
        <f>AND(#REF!,"AAAAAHnfa0s=")</f>
        <v>#REF!</v>
      </c>
      <c r="BY24" t="e">
        <f>AND(#REF!,"AAAAAHnfa0w=")</f>
        <v>#REF!</v>
      </c>
      <c r="BZ24" t="e">
        <f>AND(#REF!,"AAAAAHnfa00=")</f>
        <v>#REF!</v>
      </c>
      <c r="CA24" t="e">
        <f>AND(#REF!,"AAAAAHnfa04=")</f>
        <v>#REF!</v>
      </c>
      <c r="CB24" t="e">
        <f>AND(#REF!,"AAAAAHnfa08=")</f>
        <v>#REF!</v>
      </c>
      <c r="CC24" t="e">
        <f>AND(#REF!,"AAAAAHnfa1A=")</f>
        <v>#REF!</v>
      </c>
      <c r="CD24" t="e">
        <f>AND(#REF!,"AAAAAHnfa1E=")</f>
        <v>#REF!</v>
      </c>
      <c r="CE24" t="e">
        <f>AND(#REF!,"AAAAAHnfa1I=")</f>
        <v>#REF!</v>
      </c>
      <c r="CF24" t="e">
        <f>AND(#REF!,"AAAAAHnfa1M=")</f>
        <v>#REF!</v>
      </c>
      <c r="CG24" t="e">
        <f>IF(#REF!,"AAAAAHnfa1Q=",0)</f>
        <v>#REF!</v>
      </c>
      <c r="CH24" t="e">
        <f>AND(#REF!,"AAAAAHnfa1U=")</f>
        <v>#REF!</v>
      </c>
      <c r="CI24" t="e">
        <f>AND(#REF!,"AAAAAHnfa1Y=")</f>
        <v>#REF!</v>
      </c>
      <c r="CJ24" t="e">
        <f>AND(#REF!,"AAAAAHnfa1c=")</f>
        <v>#REF!</v>
      </c>
      <c r="CK24" t="e">
        <f>AND(#REF!,"AAAAAHnfa1g=")</f>
        <v>#REF!</v>
      </c>
      <c r="CL24" t="e">
        <f>AND(#REF!,"AAAAAHnfa1k=")</f>
        <v>#REF!</v>
      </c>
      <c r="CM24" t="e">
        <f>AND(#REF!,"AAAAAHnfa1o=")</f>
        <v>#REF!</v>
      </c>
      <c r="CN24" t="e">
        <f>AND(#REF!,"AAAAAHnfa1s=")</f>
        <v>#REF!</v>
      </c>
      <c r="CO24" t="e">
        <f>AND(#REF!,"AAAAAHnfa1w=")</f>
        <v>#REF!</v>
      </c>
      <c r="CP24" t="e">
        <f>AND(#REF!,"AAAAAHnfa10=")</f>
        <v>#REF!</v>
      </c>
      <c r="CQ24" t="e">
        <f>AND(#REF!,"AAAAAHnfa14=")</f>
        <v>#REF!</v>
      </c>
      <c r="CR24" t="e">
        <f>AND(#REF!,"AAAAAHnfa18=")</f>
        <v>#REF!</v>
      </c>
      <c r="CS24" t="e">
        <f>IF(#REF!,"AAAAAHnfa2A=",0)</f>
        <v>#REF!</v>
      </c>
      <c r="CT24" t="e">
        <f>AND(#REF!,"AAAAAHnfa2E=")</f>
        <v>#REF!</v>
      </c>
      <c r="CU24" t="e">
        <f>AND(#REF!,"AAAAAHnfa2I=")</f>
        <v>#REF!</v>
      </c>
      <c r="CV24" t="e">
        <f>AND(#REF!,"AAAAAHnfa2M=")</f>
        <v>#REF!</v>
      </c>
      <c r="CW24" t="e">
        <f>AND(#REF!,"AAAAAHnfa2Q=")</f>
        <v>#REF!</v>
      </c>
      <c r="CX24" t="e">
        <f>AND(#REF!,"AAAAAHnfa2U=")</f>
        <v>#REF!</v>
      </c>
      <c r="CY24" t="e">
        <f>AND(#REF!,"AAAAAHnfa2Y=")</f>
        <v>#REF!</v>
      </c>
      <c r="CZ24" t="e">
        <f>AND(#REF!,"AAAAAHnfa2c=")</f>
        <v>#REF!</v>
      </c>
      <c r="DA24" t="e">
        <f>AND(#REF!,"AAAAAHnfa2g=")</f>
        <v>#REF!</v>
      </c>
      <c r="DB24" t="e">
        <f>AND(#REF!,"AAAAAHnfa2k=")</f>
        <v>#REF!</v>
      </c>
      <c r="DC24" t="e">
        <f>AND(#REF!,"AAAAAHnfa2o=")</f>
        <v>#REF!</v>
      </c>
      <c r="DD24" t="e">
        <f>AND(#REF!,"AAAAAHnfa2s=")</f>
        <v>#REF!</v>
      </c>
      <c r="DE24" t="e">
        <f>IF(#REF!,"AAAAAHnfa2w=",0)</f>
        <v>#REF!</v>
      </c>
      <c r="DF24" t="e">
        <f>AND(#REF!,"AAAAAHnfa20=")</f>
        <v>#REF!</v>
      </c>
      <c r="DG24" t="e">
        <f>AND(#REF!,"AAAAAHnfa24=")</f>
        <v>#REF!</v>
      </c>
      <c r="DH24" t="e">
        <f>AND(#REF!,"AAAAAHnfa28=")</f>
        <v>#REF!</v>
      </c>
      <c r="DI24" t="e">
        <f>AND(#REF!,"AAAAAHnfa3A=")</f>
        <v>#REF!</v>
      </c>
      <c r="DJ24" t="e">
        <f>AND(#REF!,"AAAAAHnfa3E=")</f>
        <v>#REF!</v>
      </c>
      <c r="DK24" t="e">
        <f>AND(#REF!,"AAAAAHnfa3I=")</f>
        <v>#REF!</v>
      </c>
      <c r="DL24" t="e">
        <f>AND(#REF!,"AAAAAHnfa3M=")</f>
        <v>#REF!</v>
      </c>
      <c r="DM24" t="e">
        <f>AND(#REF!,"AAAAAHnfa3Q=")</f>
        <v>#REF!</v>
      </c>
      <c r="DN24" t="e">
        <f>AND(#REF!,"AAAAAHnfa3U=")</f>
        <v>#REF!</v>
      </c>
      <c r="DO24" t="e">
        <f>AND(#REF!,"AAAAAHnfa3Y=")</f>
        <v>#REF!</v>
      </c>
      <c r="DP24" t="e">
        <f>AND(#REF!,"AAAAAHnfa3c=")</f>
        <v>#REF!</v>
      </c>
      <c r="DQ24" t="e">
        <f>IF(#REF!,"AAAAAHnfa3g=",0)</f>
        <v>#REF!</v>
      </c>
      <c r="DR24" t="e">
        <f>AND(#REF!,"AAAAAHnfa3k=")</f>
        <v>#REF!</v>
      </c>
      <c r="DS24" t="e">
        <f>AND(#REF!,"AAAAAHnfa3o=")</f>
        <v>#REF!</v>
      </c>
      <c r="DT24" t="e">
        <f>AND(#REF!,"AAAAAHnfa3s=")</f>
        <v>#REF!</v>
      </c>
      <c r="DU24" t="e">
        <f>AND(#REF!,"AAAAAHnfa3w=")</f>
        <v>#REF!</v>
      </c>
      <c r="DV24" t="e">
        <f>AND(#REF!,"AAAAAHnfa30=")</f>
        <v>#REF!</v>
      </c>
      <c r="DW24" t="e">
        <f>AND(#REF!,"AAAAAHnfa34=")</f>
        <v>#REF!</v>
      </c>
      <c r="DX24" t="e">
        <f>AND(#REF!,"AAAAAHnfa38=")</f>
        <v>#REF!</v>
      </c>
      <c r="DY24" t="e">
        <f>AND(#REF!,"AAAAAHnfa4A=")</f>
        <v>#REF!</v>
      </c>
      <c r="DZ24" t="e">
        <f>AND(#REF!,"AAAAAHnfa4E=")</f>
        <v>#REF!</v>
      </c>
      <c r="EA24" t="e">
        <f>AND(#REF!,"AAAAAHnfa4I=")</f>
        <v>#REF!</v>
      </c>
      <c r="EB24" t="e">
        <f>AND(#REF!,"AAAAAHnfa4M=")</f>
        <v>#REF!</v>
      </c>
      <c r="EC24" t="e">
        <f>IF(#REF!,"AAAAAHnfa4Q=",0)</f>
        <v>#REF!</v>
      </c>
      <c r="ED24" t="e">
        <f>AND(#REF!,"AAAAAHnfa4U=")</f>
        <v>#REF!</v>
      </c>
      <c r="EE24" t="e">
        <f>AND(#REF!,"AAAAAHnfa4Y=")</f>
        <v>#REF!</v>
      </c>
      <c r="EF24" t="e">
        <f>AND(#REF!,"AAAAAHnfa4c=")</f>
        <v>#REF!</v>
      </c>
      <c r="EG24" t="e">
        <f>AND(#REF!,"AAAAAHnfa4g=")</f>
        <v>#REF!</v>
      </c>
      <c r="EH24" t="e">
        <f>AND(#REF!,"AAAAAHnfa4k=")</f>
        <v>#REF!</v>
      </c>
      <c r="EI24" t="e">
        <f>AND(#REF!,"AAAAAHnfa4o=")</f>
        <v>#REF!</v>
      </c>
      <c r="EJ24" t="e">
        <f>AND(#REF!,"AAAAAHnfa4s=")</f>
        <v>#REF!</v>
      </c>
      <c r="EK24" t="e">
        <f>AND(#REF!,"AAAAAHnfa4w=")</f>
        <v>#REF!</v>
      </c>
      <c r="EL24" t="e">
        <f>AND(#REF!,"AAAAAHnfa40=")</f>
        <v>#REF!</v>
      </c>
      <c r="EM24" t="e">
        <f>AND(#REF!,"AAAAAHnfa44=")</f>
        <v>#REF!</v>
      </c>
      <c r="EN24" t="e">
        <f>AND(#REF!,"AAAAAHnfa48=")</f>
        <v>#REF!</v>
      </c>
      <c r="EO24" t="e">
        <f>IF(#REF!,"AAAAAHnfa5A=",0)</f>
        <v>#REF!</v>
      </c>
      <c r="EP24" t="e">
        <f>AND(#REF!,"AAAAAHnfa5E=")</f>
        <v>#REF!</v>
      </c>
      <c r="EQ24" t="e">
        <f>AND(#REF!,"AAAAAHnfa5I=")</f>
        <v>#REF!</v>
      </c>
      <c r="ER24" t="e">
        <f>AND(#REF!,"AAAAAHnfa5M=")</f>
        <v>#REF!</v>
      </c>
      <c r="ES24" t="e">
        <f>AND(#REF!,"AAAAAHnfa5Q=")</f>
        <v>#REF!</v>
      </c>
      <c r="ET24" t="e">
        <f>AND(#REF!,"AAAAAHnfa5U=")</f>
        <v>#REF!</v>
      </c>
      <c r="EU24" t="e">
        <f>AND(#REF!,"AAAAAHnfa5Y=")</f>
        <v>#REF!</v>
      </c>
      <c r="EV24" t="e">
        <f>AND(#REF!,"AAAAAHnfa5c=")</f>
        <v>#REF!</v>
      </c>
      <c r="EW24" t="e">
        <f>AND(#REF!,"AAAAAHnfa5g=")</f>
        <v>#REF!</v>
      </c>
      <c r="EX24" t="e">
        <f>AND(#REF!,"AAAAAHnfa5k=")</f>
        <v>#REF!</v>
      </c>
      <c r="EY24" t="e">
        <f>AND(#REF!,"AAAAAHnfa5o=")</f>
        <v>#REF!</v>
      </c>
      <c r="EZ24" t="e">
        <f>AND(#REF!,"AAAAAHnfa5s=")</f>
        <v>#REF!</v>
      </c>
      <c r="FA24" t="e">
        <f>IF(#REF!,"AAAAAHnfa5w=",0)</f>
        <v>#REF!</v>
      </c>
      <c r="FB24" t="e">
        <f>AND(#REF!,"AAAAAHnfa50=")</f>
        <v>#REF!</v>
      </c>
      <c r="FC24" t="e">
        <f>AND(#REF!,"AAAAAHnfa54=")</f>
        <v>#REF!</v>
      </c>
      <c r="FD24" t="e">
        <f>AND(#REF!,"AAAAAHnfa58=")</f>
        <v>#REF!</v>
      </c>
      <c r="FE24" t="e">
        <f>AND(#REF!,"AAAAAHnfa6A=")</f>
        <v>#REF!</v>
      </c>
      <c r="FF24" t="e">
        <f>AND(#REF!,"AAAAAHnfa6E=")</f>
        <v>#REF!</v>
      </c>
      <c r="FG24" t="e">
        <f>AND(#REF!,"AAAAAHnfa6I=")</f>
        <v>#REF!</v>
      </c>
      <c r="FH24" t="e">
        <f>AND(#REF!,"AAAAAHnfa6M=")</f>
        <v>#REF!</v>
      </c>
      <c r="FI24" t="e">
        <f>AND(#REF!,"AAAAAHnfa6Q=")</f>
        <v>#REF!</v>
      </c>
      <c r="FJ24" t="e">
        <f>AND(#REF!,"AAAAAHnfa6U=")</f>
        <v>#REF!</v>
      </c>
      <c r="FK24" t="e">
        <f>AND(#REF!,"AAAAAHnfa6Y=")</f>
        <v>#REF!</v>
      </c>
      <c r="FL24" t="e">
        <f>AND(#REF!,"AAAAAHnfa6c=")</f>
        <v>#REF!</v>
      </c>
      <c r="FM24" t="e">
        <f>IF(#REF!,"AAAAAHnfa6g=",0)</f>
        <v>#REF!</v>
      </c>
      <c r="FN24" t="e">
        <f>AND(#REF!,"AAAAAHnfa6k=")</f>
        <v>#REF!</v>
      </c>
      <c r="FO24" t="e">
        <f>AND(#REF!,"AAAAAHnfa6o=")</f>
        <v>#REF!</v>
      </c>
      <c r="FP24" t="e">
        <f>AND(#REF!,"AAAAAHnfa6s=")</f>
        <v>#REF!</v>
      </c>
      <c r="FQ24" t="e">
        <f>AND(#REF!,"AAAAAHnfa6w=")</f>
        <v>#REF!</v>
      </c>
      <c r="FR24" t="e">
        <f>AND(#REF!,"AAAAAHnfa60=")</f>
        <v>#REF!</v>
      </c>
      <c r="FS24" t="e">
        <f>AND(#REF!,"AAAAAHnfa64=")</f>
        <v>#REF!</v>
      </c>
      <c r="FT24" t="e">
        <f>AND(#REF!,"AAAAAHnfa68=")</f>
        <v>#REF!</v>
      </c>
      <c r="FU24" t="e">
        <f>AND(#REF!,"AAAAAHnfa7A=")</f>
        <v>#REF!</v>
      </c>
      <c r="FV24" t="e">
        <f>AND(#REF!,"AAAAAHnfa7E=")</f>
        <v>#REF!</v>
      </c>
      <c r="FW24" t="e">
        <f>AND(#REF!,"AAAAAHnfa7I=")</f>
        <v>#REF!</v>
      </c>
      <c r="FX24" t="e">
        <f>AND(#REF!,"AAAAAHnfa7M=")</f>
        <v>#REF!</v>
      </c>
      <c r="FY24" t="e">
        <f>IF(#REF!,"AAAAAHnfa7Q=",0)</f>
        <v>#REF!</v>
      </c>
      <c r="FZ24" t="e">
        <f>AND(#REF!,"AAAAAHnfa7U=")</f>
        <v>#REF!</v>
      </c>
      <c r="GA24" t="e">
        <f>AND(#REF!,"AAAAAHnfa7Y=")</f>
        <v>#REF!</v>
      </c>
      <c r="GB24" t="e">
        <f>AND(#REF!,"AAAAAHnfa7c=")</f>
        <v>#REF!</v>
      </c>
      <c r="GC24" t="e">
        <f>AND(#REF!,"AAAAAHnfa7g=")</f>
        <v>#REF!</v>
      </c>
      <c r="GD24" t="e">
        <f>AND(#REF!,"AAAAAHnfa7k=")</f>
        <v>#REF!</v>
      </c>
      <c r="GE24" t="e">
        <f>AND(#REF!,"AAAAAHnfa7o=")</f>
        <v>#REF!</v>
      </c>
      <c r="GF24" t="e">
        <f>AND(#REF!,"AAAAAHnfa7s=")</f>
        <v>#REF!</v>
      </c>
      <c r="GG24" t="e">
        <f>AND(#REF!,"AAAAAHnfa7w=")</f>
        <v>#REF!</v>
      </c>
      <c r="GH24" t="e">
        <f>AND(#REF!,"AAAAAHnfa70=")</f>
        <v>#REF!</v>
      </c>
      <c r="GI24" t="e">
        <f>AND(#REF!,"AAAAAHnfa74=")</f>
        <v>#REF!</v>
      </c>
      <c r="GJ24" t="e">
        <f>AND(#REF!,"AAAAAHnfa78=")</f>
        <v>#REF!</v>
      </c>
      <c r="GK24" t="e">
        <f>IF(#REF!,"AAAAAHnfa8A=",0)</f>
        <v>#REF!</v>
      </c>
      <c r="GL24" t="e">
        <f>AND(#REF!,"AAAAAHnfa8E=")</f>
        <v>#REF!</v>
      </c>
      <c r="GM24" t="e">
        <f>AND(#REF!,"AAAAAHnfa8I=")</f>
        <v>#REF!</v>
      </c>
      <c r="GN24" t="e">
        <f>AND(#REF!,"AAAAAHnfa8M=")</f>
        <v>#REF!</v>
      </c>
      <c r="GO24" t="e">
        <f>AND(#REF!,"AAAAAHnfa8Q=")</f>
        <v>#REF!</v>
      </c>
      <c r="GP24" t="e">
        <f>AND(#REF!,"AAAAAHnfa8U=")</f>
        <v>#REF!</v>
      </c>
      <c r="GQ24" t="e">
        <f>AND(#REF!,"AAAAAHnfa8Y=")</f>
        <v>#REF!</v>
      </c>
      <c r="GR24" t="e">
        <f>IF(#REF!,"AAAAAHnfa8c=",0)</f>
        <v>#REF!</v>
      </c>
      <c r="GS24" t="e">
        <f>AND(#REF!,"AAAAAHnfa8g=")</f>
        <v>#REF!</v>
      </c>
      <c r="GT24" t="e">
        <f>AND(#REF!,"AAAAAHnfa8k=")</f>
        <v>#REF!</v>
      </c>
      <c r="GU24" t="e">
        <f>AND(#REF!,"AAAAAHnfa8o=")</f>
        <v>#REF!</v>
      </c>
      <c r="GV24" t="e">
        <f>AND(#REF!,"AAAAAHnfa8s=")</f>
        <v>#REF!</v>
      </c>
      <c r="GW24" t="e">
        <f>AND(#REF!,"AAAAAHnfa8w=")</f>
        <v>#REF!</v>
      </c>
      <c r="GX24" t="e">
        <f>AND(#REF!,"AAAAAHnfa80=")</f>
        <v>#REF!</v>
      </c>
      <c r="GY24" t="e">
        <f>IF(#REF!,"AAAAAHnfa84=",0)</f>
        <v>#REF!</v>
      </c>
      <c r="GZ24" t="e">
        <f>AND(#REF!,"AAAAAHnfa88=")</f>
        <v>#REF!</v>
      </c>
      <c r="HA24" t="e">
        <f>AND(#REF!,"AAAAAHnfa9A=")</f>
        <v>#REF!</v>
      </c>
      <c r="HB24" t="e">
        <f>AND(#REF!,"AAAAAHnfa9E=")</f>
        <v>#REF!</v>
      </c>
      <c r="HC24" t="e">
        <f>AND(#REF!,"AAAAAHnfa9I=")</f>
        <v>#REF!</v>
      </c>
      <c r="HD24" t="e">
        <f>AND(#REF!,"AAAAAHnfa9M=")</f>
        <v>#REF!</v>
      </c>
      <c r="HE24" t="e">
        <f>AND(#REF!,"AAAAAHnfa9Q=")</f>
        <v>#REF!</v>
      </c>
      <c r="HF24" t="e">
        <f>IF(#REF!,"AAAAAHnfa9U=",0)</f>
        <v>#REF!</v>
      </c>
      <c r="HG24" t="e">
        <f>AND(#REF!,"AAAAAHnfa9Y=")</f>
        <v>#REF!</v>
      </c>
      <c r="HH24" t="e">
        <f>AND(#REF!,"AAAAAHnfa9c=")</f>
        <v>#REF!</v>
      </c>
      <c r="HI24" t="e">
        <f>AND(#REF!,"AAAAAHnfa9g=")</f>
        <v>#REF!</v>
      </c>
      <c r="HJ24" t="e">
        <f>AND(#REF!,"AAAAAHnfa9k=")</f>
        <v>#REF!</v>
      </c>
      <c r="HK24" t="e">
        <f>AND(#REF!,"AAAAAHnfa9o=")</f>
        <v>#REF!</v>
      </c>
      <c r="HL24" t="e">
        <f>AND(#REF!,"AAAAAHnfa9s=")</f>
        <v>#REF!</v>
      </c>
      <c r="HM24" t="e">
        <f>IF(#REF!,"AAAAAHnfa9w=",0)</f>
        <v>#REF!</v>
      </c>
      <c r="HN24" t="e">
        <f>IF(#REF!,"AAAAAHnfa90=",0)</f>
        <v>#REF!</v>
      </c>
      <c r="HO24" t="e">
        <f>IF(#REF!,"AAAAAHnfa94=",0)</f>
        <v>#REF!</v>
      </c>
      <c r="HP24" t="e">
        <f>IF(#REF!,"AAAAAHnfa98=",0)</f>
        <v>#REF!</v>
      </c>
      <c r="HQ24" t="e">
        <f>IF(#REF!,"AAAAAHnfa+A=",0)</f>
        <v>#REF!</v>
      </c>
      <c r="HR24" t="e">
        <f>IF(#REF!,"AAAAAHnfa+E=",0)</f>
        <v>#REF!</v>
      </c>
      <c r="HS24" t="e">
        <f>IF(#REF!,"AAAAAHnfa+I=",0)</f>
        <v>#REF!</v>
      </c>
      <c r="HT24" t="e">
        <f>IF(#REF!,"AAAAAHnfa+M=",0)</f>
        <v>#REF!</v>
      </c>
      <c r="HU24" t="e">
        <f>IF(#REF!,"AAAAAHnfa+Q=",0)</f>
        <v>#REF!</v>
      </c>
      <c r="HV24" t="e">
        <f>IF(#REF!,"AAAAAHnfa+U=",0)</f>
        <v>#REF!</v>
      </c>
      <c r="HW24" t="e">
        <f>IF(#REF!,"AAAAAHnfa+Y=",0)</f>
        <v>#REF!</v>
      </c>
      <c r="HX24" t="e">
        <f>IF(#REF!,"AAAAAHnfa+c=",0)</f>
        <v>#REF!</v>
      </c>
      <c r="HY24" t="e">
        <f>AND(#REF!,"AAAAAHnfa+g=")</f>
        <v>#REF!</v>
      </c>
      <c r="HZ24" t="e">
        <f>AND(#REF!,"AAAAAHnfa+k=")</f>
        <v>#REF!</v>
      </c>
      <c r="IA24" t="e">
        <f>AND(#REF!,"AAAAAHnfa+o=")</f>
        <v>#REF!</v>
      </c>
      <c r="IB24" t="e">
        <f>AND(#REF!,"AAAAAHnfa+s=")</f>
        <v>#REF!</v>
      </c>
      <c r="IC24" t="e">
        <f>AND(#REF!,"AAAAAHnfa+w=")</f>
        <v>#REF!</v>
      </c>
      <c r="ID24" t="e">
        <f>AND(#REF!,"AAAAAHnfa+0=")</f>
        <v>#REF!</v>
      </c>
      <c r="IE24" t="e">
        <f>AND(#REF!,"AAAAAHnfa+4=")</f>
        <v>#REF!</v>
      </c>
      <c r="IF24" t="e">
        <f>AND(#REF!,"AAAAAHnfa+8=")</f>
        <v>#REF!</v>
      </c>
      <c r="IG24" t="e">
        <f>AND(#REF!,"AAAAAHnfa/A=")</f>
        <v>#REF!</v>
      </c>
      <c r="IH24" t="e">
        <f>AND(#REF!,"AAAAAHnfa/E=")</f>
        <v>#REF!</v>
      </c>
      <c r="II24" t="e">
        <f>IF(#REF!,"AAAAAHnfa/I=",0)</f>
        <v>#REF!</v>
      </c>
      <c r="IJ24" t="e">
        <f>AND(#REF!,"AAAAAHnfa/M=")</f>
        <v>#REF!</v>
      </c>
      <c r="IK24" t="e">
        <f>AND(#REF!,"AAAAAHnfa/Q=")</f>
        <v>#REF!</v>
      </c>
      <c r="IL24" t="e">
        <f>AND(#REF!,"AAAAAHnfa/U=")</f>
        <v>#REF!</v>
      </c>
      <c r="IM24" t="e">
        <f>AND(#REF!,"AAAAAHnfa/Y=")</f>
        <v>#REF!</v>
      </c>
      <c r="IN24" t="e">
        <f>AND(#REF!,"AAAAAHnfa/c=")</f>
        <v>#REF!</v>
      </c>
      <c r="IO24" t="e">
        <f>AND(#REF!,"AAAAAHnfa/g=")</f>
        <v>#REF!</v>
      </c>
      <c r="IP24" t="e">
        <f>AND(#REF!,"AAAAAHnfa/k=")</f>
        <v>#REF!</v>
      </c>
      <c r="IQ24" t="e">
        <f>AND(#REF!,"AAAAAHnfa/o=")</f>
        <v>#REF!</v>
      </c>
      <c r="IR24" t="e">
        <f>AND(#REF!,"AAAAAHnfa/s=")</f>
        <v>#REF!</v>
      </c>
      <c r="IS24" t="e">
        <f>AND(#REF!,"AAAAAHnfa/w=")</f>
        <v>#REF!</v>
      </c>
      <c r="IT24" t="e">
        <f>IF(#REF!,"AAAAAHnfa/0=",0)</f>
        <v>#REF!</v>
      </c>
      <c r="IU24" t="e">
        <f>AND(#REF!,"AAAAAHnfa/4=")</f>
        <v>#REF!</v>
      </c>
      <c r="IV24" t="e">
        <f>AND(#REF!,"AAAAAHnfa/8=")</f>
        <v>#REF!</v>
      </c>
    </row>
    <row r="25" spans="1:256">
      <c r="A25" t="e">
        <f>AND(#REF!,"AAAAAH7/ewA=")</f>
        <v>#REF!</v>
      </c>
      <c r="B25" t="e">
        <f>AND(#REF!,"AAAAAH7/ewE=")</f>
        <v>#REF!</v>
      </c>
      <c r="C25" t="e">
        <f>AND(#REF!,"AAAAAH7/ewI=")</f>
        <v>#REF!</v>
      </c>
      <c r="D25" t="e">
        <f>AND(#REF!,"AAAAAH7/ewM=")</f>
        <v>#REF!</v>
      </c>
      <c r="E25" t="e">
        <f>AND(#REF!,"AAAAAH7/ewQ=")</f>
        <v>#REF!</v>
      </c>
      <c r="F25" t="e">
        <f>AND(#REF!,"AAAAAH7/ewU=")</f>
        <v>#REF!</v>
      </c>
      <c r="G25" t="e">
        <f>AND(#REF!,"AAAAAH7/ewY=")</f>
        <v>#REF!</v>
      </c>
      <c r="H25" t="e">
        <f>AND(#REF!,"AAAAAH7/ewc=")</f>
        <v>#REF!</v>
      </c>
      <c r="I25" t="e">
        <f>IF(#REF!,"AAAAAH7/ewg=",0)</f>
        <v>#REF!</v>
      </c>
      <c r="J25" t="e">
        <f>AND(#REF!,"AAAAAH7/ewk=")</f>
        <v>#REF!</v>
      </c>
      <c r="K25" t="e">
        <f>AND(#REF!,"AAAAAH7/ewo=")</f>
        <v>#REF!</v>
      </c>
      <c r="L25" t="e">
        <f>AND(#REF!,"AAAAAH7/ews=")</f>
        <v>#REF!</v>
      </c>
      <c r="M25" t="e">
        <f>AND(#REF!,"AAAAAH7/eww=")</f>
        <v>#REF!</v>
      </c>
      <c r="N25" t="e">
        <f>AND(#REF!,"AAAAAH7/ew0=")</f>
        <v>#REF!</v>
      </c>
      <c r="O25" t="e">
        <f>AND(#REF!,"AAAAAH7/ew4=")</f>
        <v>#REF!</v>
      </c>
      <c r="P25" t="e">
        <f>AND(#REF!,"AAAAAH7/ew8=")</f>
        <v>#REF!</v>
      </c>
      <c r="Q25" t="e">
        <f>AND(#REF!,"AAAAAH7/exA=")</f>
        <v>#REF!</v>
      </c>
      <c r="R25" t="e">
        <f>AND(#REF!,"AAAAAH7/exE=")</f>
        <v>#REF!</v>
      </c>
      <c r="S25" t="e">
        <f>AND(#REF!,"AAAAAH7/exI=")</f>
        <v>#REF!</v>
      </c>
      <c r="T25" t="e">
        <f>IF(#REF!,"AAAAAH7/exM=",0)</f>
        <v>#REF!</v>
      </c>
      <c r="U25" t="e">
        <f>AND(#REF!,"AAAAAH7/exQ=")</f>
        <v>#REF!</v>
      </c>
      <c r="V25" t="e">
        <f>AND(#REF!,"AAAAAH7/exU=")</f>
        <v>#REF!</v>
      </c>
      <c r="W25" t="e">
        <f>AND(#REF!,"AAAAAH7/exY=")</f>
        <v>#REF!</v>
      </c>
      <c r="X25" t="e">
        <f>AND(#REF!,"AAAAAH7/exc=")</f>
        <v>#REF!</v>
      </c>
      <c r="Y25" t="e">
        <f>AND(#REF!,"AAAAAH7/exg=")</f>
        <v>#REF!</v>
      </c>
      <c r="Z25" t="e">
        <f>AND(#REF!,"AAAAAH7/exk=")</f>
        <v>#REF!</v>
      </c>
      <c r="AA25" t="e">
        <f>AND(#REF!,"AAAAAH7/exo=")</f>
        <v>#REF!</v>
      </c>
      <c r="AB25" t="e">
        <f>AND(#REF!,"AAAAAH7/exs=")</f>
        <v>#REF!</v>
      </c>
      <c r="AC25" t="e">
        <f>AND(#REF!,"AAAAAH7/exw=")</f>
        <v>#REF!</v>
      </c>
      <c r="AD25" t="e">
        <f>AND(#REF!,"AAAAAH7/ex0=")</f>
        <v>#REF!</v>
      </c>
      <c r="AE25" t="e">
        <f>IF(#REF!,"AAAAAH7/ex4=",0)</f>
        <v>#REF!</v>
      </c>
      <c r="AF25" t="e">
        <f>AND(#REF!,"AAAAAH7/ex8=")</f>
        <v>#REF!</v>
      </c>
      <c r="AG25" t="e">
        <f>AND(#REF!,"AAAAAH7/eyA=")</f>
        <v>#REF!</v>
      </c>
      <c r="AH25" t="e">
        <f>AND(#REF!,"AAAAAH7/eyE=")</f>
        <v>#REF!</v>
      </c>
      <c r="AI25" t="e">
        <f>AND(#REF!,"AAAAAH7/eyI=")</f>
        <v>#REF!</v>
      </c>
      <c r="AJ25" t="e">
        <f>AND(#REF!,"AAAAAH7/eyM=")</f>
        <v>#REF!</v>
      </c>
      <c r="AK25" t="e">
        <f>AND(#REF!,"AAAAAH7/eyQ=")</f>
        <v>#REF!</v>
      </c>
      <c r="AL25" t="e">
        <f>AND(#REF!,"AAAAAH7/eyU=")</f>
        <v>#REF!</v>
      </c>
      <c r="AM25" t="e">
        <f>AND(#REF!,"AAAAAH7/eyY=")</f>
        <v>#REF!</v>
      </c>
      <c r="AN25" t="e">
        <f>AND(#REF!,"AAAAAH7/eyc=")</f>
        <v>#REF!</v>
      </c>
      <c r="AO25" t="e">
        <f>AND(#REF!,"AAAAAH7/eyg=")</f>
        <v>#REF!</v>
      </c>
      <c r="AP25" t="e">
        <f>IF(#REF!,"AAAAAH7/eyk=",0)</f>
        <v>#REF!</v>
      </c>
      <c r="AQ25" t="e">
        <f>AND(#REF!,"AAAAAH7/eyo=")</f>
        <v>#REF!</v>
      </c>
      <c r="AR25" t="e">
        <f>AND(#REF!,"AAAAAH7/eys=")</f>
        <v>#REF!</v>
      </c>
      <c r="AS25" t="e">
        <f>AND(#REF!,"AAAAAH7/eyw=")</f>
        <v>#REF!</v>
      </c>
      <c r="AT25" t="e">
        <f>AND(#REF!,"AAAAAH7/ey0=")</f>
        <v>#REF!</v>
      </c>
      <c r="AU25" t="e">
        <f>AND(#REF!,"AAAAAH7/ey4=")</f>
        <v>#REF!</v>
      </c>
      <c r="AV25" t="e">
        <f>AND(#REF!,"AAAAAH7/ey8=")</f>
        <v>#REF!</v>
      </c>
      <c r="AW25" t="e">
        <f>AND(#REF!,"AAAAAH7/ezA=")</f>
        <v>#REF!</v>
      </c>
      <c r="AX25" t="e">
        <f>AND(#REF!,"AAAAAH7/ezE=")</f>
        <v>#REF!</v>
      </c>
      <c r="AY25" t="e">
        <f>AND(#REF!,"AAAAAH7/ezI=")</f>
        <v>#REF!</v>
      </c>
      <c r="AZ25" t="e">
        <f>AND(#REF!,"AAAAAH7/ezM=")</f>
        <v>#REF!</v>
      </c>
      <c r="BA25" t="e">
        <f>IF(#REF!,"AAAAAH7/ezQ=",0)</f>
        <v>#REF!</v>
      </c>
      <c r="BB25" t="e">
        <f>AND(#REF!,"AAAAAH7/ezU=")</f>
        <v>#REF!</v>
      </c>
      <c r="BC25" t="e">
        <f>AND(#REF!,"AAAAAH7/ezY=")</f>
        <v>#REF!</v>
      </c>
      <c r="BD25" t="e">
        <f>AND(#REF!,"AAAAAH7/ezc=")</f>
        <v>#REF!</v>
      </c>
      <c r="BE25" t="e">
        <f>AND(#REF!,"AAAAAH7/ezg=")</f>
        <v>#REF!</v>
      </c>
      <c r="BF25" t="e">
        <f>AND(#REF!,"AAAAAH7/ezk=")</f>
        <v>#REF!</v>
      </c>
      <c r="BG25" t="e">
        <f>AND(#REF!,"AAAAAH7/ezo=")</f>
        <v>#REF!</v>
      </c>
      <c r="BH25" t="e">
        <f>AND(#REF!,"AAAAAH7/ezs=")</f>
        <v>#REF!</v>
      </c>
      <c r="BI25" t="e">
        <f>AND(#REF!,"AAAAAH7/ezw=")</f>
        <v>#REF!</v>
      </c>
      <c r="BJ25" t="e">
        <f>AND(#REF!,"AAAAAH7/ez0=")</f>
        <v>#REF!</v>
      </c>
      <c r="BK25" t="e">
        <f>AND(#REF!,"AAAAAH7/ez4=")</f>
        <v>#REF!</v>
      </c>
      <c r="BL25" t="e">
        <f>IF(#REF!,"AAAAAH7/ez8=",0)</f>
        <v>#REF!</v>
      </c>
      <c r="BM25" t="e">
        <f>AND(#REF!,"AAAAAH7/e0A=")</f>
        <v>#REF!</v>
      </c>
      <c r="BN25" t="e">
        <f>AND(#REF!,"AAAAAH7/e0E=")</f>
        <v>#REF!</v>
      </c>
      <c r="BO25" t="e">
        <f>AND(#REF!,"AAAAAH7/e0I=")</f>
        <v>#REF!</v>
      </c>
      <c r="BP25" t="e">
        <f>AND(#REF!,"AAAAAH7/e0M=")</f>
        <v>#REF!</v>
      </c>
      <c r="BQ25" t="e">
        <f>AND(#REF!,"AAAAAH7/e0Q=")</f>
        <v>#REF!</v>
      </c>
      <c r="BR25" t="e">
        <f>AND(#REF!,"AAAAAH7/e0U=")</f>
        <v>#REF!</v>
      </c>
      <c r="BS25" t="e">
        <f>AND(#REF!,"AAAAAH7/e0Y=")</f>
        <v>#REF!</v>
      </c>
      <c r="BT25" t="e">
        <f>AND(#REF!,"AAAAAH7/e0c=")</f>
        <v>#REF!</v>
      </c>
      <c r="BU25" t="e">
        <f>AND(#REF!,"AAAAAH7/e0g=")</f>
        <v>#REF!</v>
      </c>
      <c r="BV25" t="e">
        <f>AND(#REF!,"AAAAAH7/e0k=")</f>
        <v>#REF!</v>
      </c>
      <c r="BW25" t="e">
        <f>IF(#REF!,"AAAAAH7/e0o=",0)</f>
        <v>#REF!</v>
      </c>
      <c r="BX25" t="e">
        <f>AND(#REF!,"AAAAAH7/e0s=")</f>
        <v>#REF!</v>
      </c>
      <c r="BY25" t="e">
        <f>AND(#REF!,"AAAAAH7/e0w=")</f>
        <v>#REF!</v>
      </c>
      <c r="BZ25" t="e">
        <f>AND(#REF!,"AAAAAH7/e00=")</f>
        <v>#REF!</v>
      </c>
      <c r="CA25" t="e">
        <f>AND(#REF!,"AAAAAH7/e04=")</f>
        <v>#REF!</v>
      </c>
      <c r="CB25" t="e">
        <f>AND(#REF!,"AAAAAH7/e08=")</f>
        <v>#REF!</v>
      </c>
      <c r="CC25" t="e">
        <f>AND(#REF!,"AAAAAH7/e1A=")</f>
        <v>#REF!</v>
      </c>
      <c r="CD25" t="e">
        <f>AND(#REF!,"AAAAAH7/e1E=")</f>
        <v>#REF!</v>
      </c>
      <c r="CE25" t="e">
        <f>AND(#REF!,"AAAAAH7/e1I=")</f>
        <v>#REF!</v>
      </c>
      <c r="CF25" t="e">
        <f>AND(#REF!,"AAAAAH7/e1M=")</f>
        <v>#REF!</v>
      </c>
      <c r="CG25" t="e">
        <f>AND(#REF!,"AAAAAH7/e1Q=")</f>
        <v>#REF!</v>
      </c>
      <c r="CH25" t="e">
        <f>IF(#REF!,"AAAAAH7/e1U=",0)</f>
        <v>#REF!</v>
      </c>
      <c r="CI25" t="e">
        <f>AND(#REF!,"AAAAAH7/e1Y=")</f>
        <v>#REF!</v>
      </c>
      <c r="CJ25" t="e">
        <f>AND(#REF!,"AAAAAH7/e1c=")</f>
        <v>#REF!</v>
      </c>
      <c r="CK25" t="e">
        <f>AND(#REF!,"AAAAAH7/e1g=")</f>
        <v>#REF!</v>
      </c>
      <c r="CL25" t="e">
        <f>AND(#REF!,"AAAAAH7/e1k=")</f>
        <v>#REF!</v>
      </c>
      <c r="CM25" t="e">
        <f>AND(#REF!,"AAAAAH7/e1o=")</f>
        <v>#REF!</v>
      </c>
      <c r="CN25" t="e">
        <f>AND(#REF!,"AAAAAH7/e1s=")</f>
        <v>#REF!</v>
      </c>
      <c r="CO25" t="e">
        <f>AND(#REF!,"AAAAAH7/e1w=")</f>
        <v>#REF!</v>
      </c>
      <c r="CP25" t="e">
        <f>AND(#REF!,"AAAAAH7/e10=")</f>
        <v>#REF!</v>
      </c>
      <c r="CQ25" t="e">
        <f>AND(#REF!,"AAAAAH7/e14=")</f>
        <v>#REF!</v>
      </c>
      <c r="CR25" t="e">
        <f>AND(#REF!,"AAAAAH7/e18=")</f>
        <v>#REF!</v>
      </c>
      <c r="CS25" t="e">
        <f>IF(#REF!,"AAAAAH7/e2A=",0)</f>
        <v>#REF!</v>
      </c>
      <c r="CT25" t="e">
        <f>AND(#REF!,"AAAAAH7/e2E=")</f>
        <v>#REF!</v>
      </c>
      <c r="CU25" t="e">
        <f>AND(#REF!,"AAAAAH7/e2I=")</f>
        <v>#REF!</v>
      </c>
      <c r="CV25" t="e">
        <f>AND(#REF!,"AAAAAH7/e2M=")</f>
        <v>#REF!</v>
      </c>
      <c r="CW25" t="e">
        <f>AND(#REF!,"AAAAAH7/e2Q=")</f>
        <v>#REF!</v>
      </c>
      <c r="CX25" t="e">
        <f>AND(#REF!,"AAAAAH7/e2U=")</f>
        <v>#REF!</v>
      </c>
      <c r="CY25" t="e">
        <f>AND(#REF!,"AAAAAH7/e2Y=")</f>
        <v>#REF!</v>
      </c>
      <c r="CZ25" t="e">
        <f>AND(#REF!,"AAAAAH7/e2c=")</f>
        <v>#REF!</v>
      </c>
      <c r="DA25" t="e">
        <f>AND(#REF!,"AAAAAH7/e2g=")</f>
        <v>#REF!</v>
      </c>
      <c r="DB25" t="e">
        <f>AND(#REF!,"AAAAAH7/e2k=")</f>
        <v>#REF!</v>
      </c>
      <c r="DC25" t="e">
        <f>AND(#REF!,"AAAAAH7/e2o=")</f>
        <v>#REF!</v>
      </c>
      <c r="DD25" t="e">
        <f>IF(#REF!,"AAAAAH7/e2s=",0)</f>
        <v>#REF!</v>
      </c>
      <c r="DE25" t="e">
        <f>AND(#REF!,"AAAAAH7/e2w=")</f>
        <v>#REF!</v>
      </c>
      <c r="DF25" t="e">
        <f>AND(#REF!,"AAAAAH7/e20=")</f>
        <v>#REF!</v>
      </c>
      <c r="DG25" t="e">
        <f>AND(#REF!,"AAAAAH7/e24=")</f>
        <v>#REF!</v>
      </c>
      <c r="DH25" t="e">
        <f>AND(#REF!,"AAAAAH7/e28=")</f>
        <v>#REF!</v>
      </c>
      <c r="DI25" t="e">
        <f>AND(#REF!,"AAAAAH7/e3A=")</f>
        <v>#REF!</v>
      </c>
      <c r="DJ25" t="e">
        <f>AND(#REF!,"AAAAAH7/e3E=")</f>
        <v>#REF!</v>
      </c>
      <c r="DK25" t="e">
        <f>AND(#REF!,"AAAAAH7/e3I=")</f>
        <v>#REF!</v>
      </c>
      <c r="DL25" t="e">
        <f>AND(#REF!,"AAAAAH7/e3M=")</f>
        <v>#REF!</v>
      </c>
      <c r="DM25" t="e">
        <f>AND(#REF!,"AAAAAH7/e3Q=")</f>
        <v>#REF!</v>
      </c>
      <c r="DN25" t="e">
        <f>AND(#REF!,"AAAAAH7/e3U=")</f>
        <v>#REF!</v>
      </c>
      <c r="DO25" t="e">
        <f>IF(#REF!,"AAAAAH7/e3Y=",0)</f>
        <v>#REF!</v>
      </c>
      <c r="DP25" t="e">
        <f>AND(#REF!,"AAAAAH7/e3c=")</f>
        <v>#REF!</v>
      </c>
      <c r="DQ25" t="e">
        <f>AND(#REF!,"AAAAAH7/e3g=")</f>
        <v>#REF!</v>
      </c>
      <c r="DR25" t="e">
        <f>AND(#REF!,"AAAAAH7/e3k=")</f>
        <v>#REF!</v>
      </c>
      <c r="DS25" t="e">
        <f>AND(#REF!,"AAAAAH7/e3o=")</f>
        <v>#REF!</v>
      </c>
      <c r="DT25" t="e">
        <f>AND(#REF!,"AAAAAH7/e3s=")</f>
        <v>#REF!</v>
      </c>
      <c r="DU25" t="e">
        <f>AND(#REF!,"AAAAAH7/e3w=")</f>
        <v>#REF!</v>
      </c>
      <c r="DV25" t="e">
        <f>AND(#REF!,"AAAAAH7/e30=")</f>
        <v>#REF!</v>
      </c>
      <c r="DW25" t="e">
        <f>AND(#REF!,"AAAAAH7/e34=")</f>
        <v>#REF!</v>
      </c>
      <c r="DX25" t="e">
        <f>AND(#REF!,"AAAAAH7/e38=")</f>
        <v>#REF!</v>
      </c>
      <c r="DY25" t="e">
        <f>AND(#REF!,"AAAAAH7/e4A=")</f>
        <v>#REF!</v>
      </c>
      <c r="DZ25" t="e">
        <f>IF(#REF!,"AAAAAH7/e4E=",0)</f>
        <v>#REF!</v>
      </c>
      <c r="EA25" t="e">
        <f>AND(#REF!,"AAAAAH7/e4I=")</f>
        <v>#REF!</v>
      </c>
      <c r="EB25" t="e">
        <f>AND(#REF!,"AAAAAH7/e4M=")</f>
        <v>#REF!</v>
      </c>
      <c r="EC25" t="e">
        <f>AND(#REF!,"AAAAAH7/e4Q=")</f>
        <v>#REF!</v>
      </c>
      <c r="ED25" t="e">
        <f>AND(#REF!,"AAAAAH7/e4U=")</f>
        <v>#REF!</v>
      </c>
      <c r="EE25" t="e">
        <f>AND(#REF!,"AAAAAH7/e4Y=")</f>
        <v>#REF!</v>
      </c>
      <c r="EF25" t="e">
        <f>AND(#REF!,"AAAAAH7/e4c=")</f>
        <v>#REF!</v>
      </c>
      <c r="EG25" t="e">
        <f>AND(#REF!,"AAAAAH7/e4g=")</f>
        <v>#REF!</v>
      </c>
      <c r="EH25" t="e">
        <f>AND(#REF!,"AAAAAH7/e4k=")</f>
        <v>#REF!</v>
      </c>
      <c r="EI25" t="e">
        <f>AND(#REF!,"AAAAAH7/e4o=")</f>
        <v>#REF!</v>
      </c>
      <c r="EJ25" t="e">
        <f>AND(#REF!,"AAAAAH7/e4s=")</f>
        <v>#REF!</v>
      </c>
      <c r="EK25" t="e">
        <f>IF(#REF!,"AAAAAH7/e4w=",0)</f>
        <v>#REF!</v>
      </c>
      <c r="EL25" t="e">
        <f>AND(#REF!,"AAAAAH7/e40=")</f>
        <v>#REF!</v>
      </c>
      <c r="EM25" t="e">
        <f>AND(#REF!,"AAAAAH7/e44=")</f>
        <v>#REF!</v>
      </c>
      <c r="EN25" t="e">
        <f>AND(#REF!,"AAAAAH7/e48=")</f>
        <v>#REF!</v>
      </c>
      <c r="EO25" t="e">
        <f>AND(#REF!,"AAAAAH7/e5A=")</f>
        <v>#REF!</v>
      </c>
      <c r="EP25" t="e">
        <f>AND(#REF!,"AAAAAH7/e5E=")</f>
        <v>#REF!</v>
      </c>
      <c r="EQ25" t="e">
        <f>AND(#REF!,"AAAAAH7/e5I=")</f>
        <v>#REF!</v>
      </c>
      <c r="ER25" t="e">
        <f>AND(#REF!,"AAAAAH7/e5M=")</f>
        <v>#REF!</v>
      </c>
      <c r="ES25" t="e">
        <f>AND(#REF!,"AAAAAH7/e5Q=")</f>
        <v>#REF!</v>
      </c>
      <c r="ET25" t="e">
        <f>AND(#REF!,"AAAAAH7/e5U=")</f>
        <v>#REF!</v>
      </c>
      <c r="EU25" t="e">
        <f>AND(#REF!,"AAAAAH7/e5Y=")</f>
        <v>#REF!</v>
      </c>
      <c r="EV25" t="e">
        <f>IF(#REF!,"AAAAAH7/e5c=",0)</f>
        <v>#REF!</v>
      </c>
      <c r="EW25" t="e">
        <f>AND(#REF!,"AAAAAH7/e5g=")</f>
        <v>#REF!</v>
      </c>
      <c r="EX25" t="e">
        <f>AND(#REF!,"AAAAAH7/e5k=")</f>
        <v>#REF!</v>
      </c>
      <c r="EY25" t="e">
        <f>AND(#REF!,"AAAAAH7/e5o=")</f>
        <v>#REF!</v>
      </c>
      <c r="EZ25" t="e">
        <f>AND(#REF!,"AAAAAH7/e5s=")</f>
        <v>#REF!</v>
      </c>
      <c r="FA25" t="e">
        <f>AND(#REF!,"AAAAAH7/e5w=")</f>
        <v>#REF!</v>
      </c>
      <c r="FB25" t="e">
        <f>AND(#REF!,"AAAAAH7/e50=")</f>
        <v>#REF!</v>
      </c>
      <c r="FC25" t="e">
        <f>AND(#REF!,"AAAAAH7/e54=")</f>
        <v>#REF!</v>
      </c>
      <c r="FD25" t="e">
        <f>AND(#REF!,"AAAAAH7/e58=")</f>
        <v>#REF!</v>
      </c>
      <c r="FE25" t="e">
        <f>AND(#REF!,"AAAAAH7/e6A=")</f>
        <v>#REF!</v>
      </c>
      <c r="FF25" t="e">
        <f>AND(#REF!,"AAAAAH7/e6E=")</f>
        <v>#REF!</v>
      </c>
      <c r="FG25" t="e">
        <f>IF(#REF!,"AAAAAH7/e6I=",0)</f>
        <v>#REF!</v>
      </c>
      <c r="FH25" t="e">
        <f>AND(#REF!,"AAAAAH7/e6M=")</f>
        <v>#REF!</v>
      </c>
      <c r="FI25" t="e">
        <f>AND(#REF!,"AAAAAH7/e6Q=")</f>
        <v>#REF!</v>
      </c>
      <c r="FJ25" t="e">
        <f>AND(#REF!,"AAAAAH7/e6U=")</f>
        <v>#REF!</v>
      </c>
      <c r="FK25" t="e">
        <f>AND(#REF!,"AAAAAH7/e6Y=")</f>
        <v>#REF!</v>
      </c>
      <c r="FL25" t="e">
        <f>AND(#REF!,"AAAAAH7/e6c=")</f>
        <v>#REF!</v>
      </c>
      <c r="FM25" t="e">
        <f>AND(#REF!,"AAAAAH7/e6g=")</f>
        <v>#REF!</v>
      </c>
      <c r="FN25" t="e">
        <f>AND(#REF!,"AAAAAH7/e6k=")</f>
        <v>#REF!</v>
      </c>
      <c r="FO25" t="e">
        <f>AND(#REF!,"AAAAAH7/e6o=")</f>
        <v>#REF!</v>
      </c>
      <c r="FP25" t="e">
        <f>AND(#REF!,"AAAAAH7/e6s=")</f>
        <v>#REF!</v>
      </c>
      <c r="FQ25" t="e">
        <f>AND(#REF!,"AAAAAH7/e6w=")</f>
        <v>#REF!</v>
      </c>
      <c r="FR25" t="e">
        <f>IF(#REF!,"AAAAAH7/e60=",0)</f>
        <v>#REF!</v>
      </c>
      <c r="FS25" t="e">
        <f>AND(#REF!,"AAAAAH7/e64=")</f>
        <v>#REF!</v>
      </c>
      <c r="FT25" t="e">
        <f>AND(#REF!,"AAAAAH7/e68=")</f>
        <v>#REF!</v>
      </c>
      <c r="FU25" t="e">
        <f>AND(#REF!,"AAAAAH7/e7A=")</f>
        <v>#REF!</v>
      </c>
      <c r="FV25" t="e">
        <f>AND(#REF!,"AAAAAH7/e7E=")</f>
        <v>#REF!</v>
      </c>
      <c r="FW25" t="e">
        <f>AND(#REF!,"AAAAAH7/e7I=")</f>
        <v>#REF!</v>
      </c>
      <c r="FX25" t="e">
        <f>AND(#REF!,"AAAAAH7/e7M=")</f>
        <v>#REF!</v>
      </c>
      <c r="FY25" t="e">
        <f>AND(#REF!,"AAAAAH7/e7Q=")</f>
        <v>#REF!</v>
      </c>
      <c r="FZ25" t="e">
        <f>AND(#REF!,"AAAAAH7/e7U=")</f>
        <v>#REF!</v>
      </c>
      <c r="GA25" t="e">
        <f>AND(#REF!,"AAAAAH7/e7Y=")</f>
        <v>#REF!</v>
      </c>
      <c r="GB25" t="e">
        <f>AND(#REF!,"AAAAAH7/e7c=")</f>
        <v>#REF!</v>
      </c>
      <c r="GC25" t="e">
        <f>IF(#REF!,"AAAAAH7/e7g=",0)</f>
        <v>#REF!</v>
      </c>
      <c r="GD25" t="e">
        <f>AND(#REF!,"AAAAAH7/e7k=")</f>
        <v>#REF!</v>
      </c>
      <c r="GE25" t="e">
        <f>AND(#REF!,"AAAAAH7/e7o=")</f>
        <v>#REF!</v>
      </c>
      <c r="GF25" t="e">
        <f>AND(#REF!,"AAAAAH7/e7s=")</f>
        <v>#REF!</v>
      </c>
      <c r="GG25" t="e">
        <f>AND(#REF!,"AAAAAH7/e7w=")</f>
        <v>#REF!</v>
      </c>
      <c r="GH25" t="e">
        <f>AND(#REF!,"AAAAAH7/e70=")</f>
        <v>#REF!</v>
      </c>
      <c r="GI25" t="e">
        <f>AND(#REF!,"AAAAAH7/e74=")</f>
        <v>#REF!</v>
      </c>
      <c r="GJ25" t="e">
        <f>AND(#REF!,"AAAAAH7/e78=")</f>
        <v>#REF!</v>
      </c>
      <c r="GK25" t="e">
        <f>AND(#REF!,"AAAAAH7/e8A=")</f>
        <v>#REF!</v>
      </c>
      <c r="GL25" t="e">
        <f>AND(#REF!,"AAAAAH7/e8E=")</f>
        <v>#REF!</v>
      </c>
      <c r="GM25" t="e">
        <f>AND(#REF!,"AAAAAH7/e8I=")</f>
        <v>#REF!</v>
      </c>
      <c r="GN25" t="e">
        <f>IF(#REF!,"AAAAAH7/e8M=",0)</f>
        <v>#REF!</v>
      </c>
      <c r="GO25" t="e">
        <f>AND(#REF!,"AAAAAH7/e8Q=")</f>
        <v>#REF!</v>
      </c>
      <c r="GP25" t="e">
        <f>AND(#REF!,"AAAAAH7/e8U=")</f>
        <v>#REF!</v>
      </c>
      <c r="GQ25" t="e">
        <f>AND(#REF!,"AAAAAH7/e8Y=")</f>
        <v>#REF!</v>
      </c>
      <c r="GR25" t="e">
        <f>AND(#REF!,"AAAAAH7/e8c=")</f>
        <v>#REF!</v>
      </c>
      <c r="GS25" t="e">
        <f>AND(#REF!,"AAAAAH7/e8g=")</f>
        <v>#REF!</v>
      </c>
      <c r="GT25" t="e">
        <f>AND(#REF!,"AAAAAH7/e8k=")</f>
        <v>#REF!</v>
      </c>
      <c r="GU25" t="e">
        <f>AND(#REF!,"AAAAAH7/e8o=")</f>
        <v>#REF!</v>
      </c>
      <c r="GV25" t="e">
        <f>AND(#REF!,"AAAAAH7/e8s=")</f>
        <v>#REF!</v>
      </c>
      <c r="GW25" t="e">
        <f>AND(#REF!,"AAAAAH7/e8w=")</f>
        <v>#REF!</v>
      </c>
      <c r="GX25" t="e">
        <f>AND(#REF!,"AAAAAH7/e80=")</f>
        <v>#REF!</v>
      </c>
      <c r="GY25" t="e">
        <f>IF(#REF!,"AAAAAH7/e84=",0)</f>
        <v>#REF!</v>
      </c>
      <c r="GZ25" t="e">
        <f>AND(#REF!,"AAAAAH7/e88=")</f>
        <v>#REF!</v>
      </c>
      <c r="HA25" t="e">
        <f>AND(#REF!,"AAAAAH7/e9A=")</f>
        <v>#REF!</v>
      </c>
      <c r="HB25" t="e">
        <f>AND(#REF!,"AAAAAH7/e9E=")</f>
        <v>#REF!</v>
      </c>
      <c r="HC25" t="e">
        <f>AND(#REF!,"AAAAAH7/e9I=")</f>
        <v>#REF!</v>
      </c>
      <c r="HD25" t="e">
        <f>AND(#REF!,"AAAAAH7/e9M=")</f>
        <v>#REF!</v>
      </c>
      <c r="HE25" t="e">
        <f>AND(#REF!,"AAAAAH7/e9Q=")</f>
        <v>#REF!</v>
      </c>
      <c r="HF25" t="e">
        <f>AND(#REF!,"AAAAAH7/e9U=")</f>
        <v>#REF!</v>
      </c>
      <c r="HG25" t="e">
        <f>AND(#REF!,"AAAAAH7/e9Y=")</f>
        <v>#REF!</v>
      </c>
      <c r="HH25" t="e">
        <f>AND(#REF!,"AAAAAH7/e9c=")</f>
        <v>#REF!</v>
      </c>
      <c r="HI25" t="e">
        <f>AND(#REF!,"AAAAAH7/e9g=")</f>
        <v>#REF!</v>
      </c>
      <c r="HJ25" t="e">
        <f>IF(#REF!,"AAAAAH7/e9k=",0)</f>
        <v>#REF!</v>
      </c>
      <c r="HK25" t="e">
        <f>AND(#REF!,"AAAAAH7/e9o=")</f>
        <v>#REF!</v>
      </c>
      <c r="HL25" t="e">
        <f>AND(#REF!,"AAAAAH7/e9s=")</f>
        <v>#REF!</v>
      </c>
      <c r="HM25" t="e">
        <f>AND(#REF!,"AAAAAH7/e9w=")</f>
        <v>#REF!</v>
      </c>
      <c r="HN25" t="e">
        <f>AND(#REF!,"AAAAAH7/e90=")</f>
        <v>#REF!</v>
      </c>
      <c r="HO25" t="e">
        <f>AND(#REF!,"AAAAAH7/e94=")</f>
        <v>#REF!</v>
      </c>
      <c r="HP25" t="e">
        <f>AND(#REF!,"AAAAAH7/e98=")</f>
        <v>#REF!</v>
      </c>
      <c r="HQ25" t="e">
        <f>AND(#REF!,"AAAAAH7/e+A=")</f>
        <v>#REF!</v>
      </c>
      <c r="HR25" t="e">
        <f>AND(#REF!,"AAAAAH7/e+E=")</f>
        <v>#REF!</v>
      </c>
      <c r="HS25" t="e">
        <f>AND(#REF!,"AAAAAH7/e+I=")</f>
        <v>#REF!</v>
      </c>
      <c r="HT25" t="e">
        <f>AND(#REF!,"AAAAAH7/e+M=")</f>
        <v>#REF!</v>
      </c>
      <c r="HU25" t="e">
        <f>IF(#REF!,"AAAAAH7/e+Q=",0)</f>
        <v>#REF!</v>
      </c>
      <c r="HV25" t="e">
        <f>AND(#REF!,"AAAAAH7/e+U=")</f>
        <v>#REF!</v>
      </c>
      <c r="HW25" t="e">
        <f>AND(#REF!,"AAAAAH7/e+Y=")</f>
        <v>#REF!</v>
      </c>
      <c r="HX25" t="e">
        <f>AND(#REF!,"AAAAAH7/e+c=")</f>
        <v>#REF!</v>
      </c>
      <c r="HY25" t="e">
        <f>AND(#REF!,"AAAAAH7/e+g=")</f>
        <v>#REF!</v>
      </c>
      <c r="HZ25" t="e">
        <f>AND(#REF!,"AAAAAH7/e+k=")</f>
        <v>#REF!</v>
      </c>
      <c r="IA25" t="e">
        <f>AND(#REF!,"AAAAAH7/e+o=")</f>
        <v>#REF!</v>
      </c>
      <c r="IB25" t="e">
        <f>AND(#REF!,"AAAAAH7/e+s=")</f>
        <v>#REF!</v>
      </c>
      <c r="IC25" t="e">
        <f>AND(#REF!,"AAAAAH7/e+w=")</f>
        <v>#REF!</v>
      </c>
      <c r="ID25" t="e">
        <f>AND(#REF!,"AAAAAH7/e+0=")</f>
        <v>#REF!</v>
      </c>
      <c r="IE25" t="e">
        <f>AND(#REF!,"AAAAAH7/e+4=")</f>
        <v>#REF!</v>
      </c>
      <c r="IF25" t="e">
        <f>IF(#REF!,"AAAAAH7/e+8=",0)</f>
        <v>#REF!</v>
      </c>
      <c r="IG25" t="e">
        <f>AND(#REF!,"AAAAAH7/e/A=")</f>
        <v>#REF!</v>
      </c>
      <c r="IH25" t="e">
        <f>AND(#REF!,"AAAAAH7/e/E=")</f>
        <v>#REF!</v>
      </c>
      <c r="II25" t="e">
        <f>AND(#REF!,"AAAAAH7/e/I=")</f>
        <v>#REF!</v>
      </c>
      <c r="IJ25" t="e">
        <f>AND(#REF!,"AAAAAH7/e/M=")</f>
        <v>#REF!</v>
      </c>
      <c r="IK25" t="e">
        <f>AND(#REF!,"AAAAAH7/e/Q=")</f>
        <v>#REF!</v>
      </c>
      <c r="IL25" t="e">
        <f>AND(#REF!,"AAAAAH7/e/U=")</f>
        <v>#REF!</v>
      </c>
      <c r="IM25" t="e">
        <f>AND(#REF!,"AAAAAH7/e/Y=")</f>
        <v>#REF!</v>
      </c>
      <c r="IN25" t="e">
        <f>AND(#REF!,"AAAAAH7/e/c=")</f>
        <v>#REF!</v>
      </c>
      <c r="IO25" t="e">
        <f>AND(#REF!,"AAAAAH7/e/g=")</f>
        <v>#REF!</v>
      </c>
      <c r="IP25" t="e">
        <f>AND(#REF!,"AAAAAH7/e/k=")</f>
        <v>#REF!</v>
      </c>
      <c r="IQ25" t="e">
        <f>IF(#REF!,"AAAAAH7/e/o=",0)</f>
        <v>#REF!</v>
      </c>
      <c r="IR25" t="e">
        <f>AND(#REF!,"AAAAAH7/e/s=")</f>
        <v>#REF!</v>
      </c>
      <c r="IS25" t="e">
        <f>AND(#REF!,"AAAAAH7/e/w=")</f>
        <v>#REF!</v>
      </c>
      <c r="IT25" t="e">
        <f>AND(#REF!,"AAAAAH7/e/0=")</f>
        <v>#REF!</v>
      </c>
      <c r="IU25" t="e">
        <f>AND(#REF!,"AAAAAH7/e/4=")</f>
        <v>#REF!</v>
      </c>
      <c r="IV25" t="e">
        <f>AND(#REF!,"AAAAAH7/e/8=")</f>
        <v>#REF!</v>
      </c>
    </row>
    <row r="26" spans="1:256">
      <c r="A26" t="e">
        <f>AND(#REF!,"AAAAADvf/wA=")</f>
        <v>#REF!</v>
      </c>
      <c r="B26" t="e">
        <f>IF(#REF!,"AAAAADvf/wE=",0)</f>
        <v>#REF!</v>
      </c>
      <c r="C26" t="e">
        <f>AND(#REF!,"AAAAADvf/wI=")</f>
        <v>#REF!</v>
      </c>
      <c r="D26" t="e">
        <f>AND(#REF!,"AAAAADvf/wM=")</f>
        <v>#REF!</v>
      </c>
      <c r="E26" t="e">
        <f>AND(#REF!,"AAAAADvf/wQ=")</f>
        <v>#REF!</v>
      </c>
      <c r="F26" t="e">
        <f>AND(#REF!,"AAAAADvf/wU=")</f>
        <v>#REF!</v>
      </c>
      <c r="G26" t="e">
        <f>AND(#REF!,"AAAAADvf/wY=")</f>
        <v>#REF!</v>
      </c>
      <c r="H26" t="e">
        <f>AND(#REF!,"AAAAADvf/wc=")</f>
        <v>#REF!</v>
      </c>
      <c r="I26" t="e">
        <f>IF(#REF!,"AAAAADvf/wg=",0)</f>
        <v>#REF!</v>
      </c>
      <c r="J26" t="e">
        <f>AND(#REF!,"AAAAADvf/wk=")</f>
        <v>#REF!</v>
      </c>
      <c r="K26" t="e">
        <f>AND(#REF!,"AAAAADvf/wo=")</f>
        <v>#REF!</v>
      </c>
      <c r="L26" t="e">
        <f>AND(#REF!,"AAAAADvf/ws=")</f>
        <v>#REF!</v>
      </c>
      <c r="M26" t="e">
        <f>AND(#REF!,"AAAAADvf/ww=")</f>
        <v>#REF!</v>
      </c>
      <c r="N26" t="e">
        <f>AND(#REF!,"AAAAADvf/w0=")</f>
        <v>#REF!</v>
      </c>
      <c r="O26" t="e">
        <f>AND(#REF!,"AAAAADvf/w4=")</f>
        <v>#REF!</v>
      </c>
      <c r="P26" t="e">
        <f>IF(#REF!,"AAAAADvf/w8=",0)</f>
        <v>#REF!</v>
      </c>
      <c r="Q26" t="e">
        <f>IF(#REF!,"AAAAADvf/xA=",0)</f>
        <v>#REF!</v>
      </c>
      <c r="R26" t="e">
        <f>IF(#REF!,"AAAAADvf/xE=",0)</f>
        <v>#REF!</v>
      </c>
      <c r="S26" t="e">
        <f>IF(#REF!,"AAAAADvf/xI=",0)</f>
        <v>#REF!</v>
      </c>
      <c r="T26" t="e">
        <f>IF(#REF!,"AAAAADvf/xM=",0)</f>
        <v>#REF!</v>
      </c>
      <c r="U26" t="e">
        <f>IF(#REF!,"AAAAADvf/xQ=",0)</f>
        <v>#REF!</v>
      </c>
      <c r="V26" t="e">
        <f>IF(#REF!,"AAAAADvf/xU=",0)</f>
        <v>#REF!</v>
      </c>
      <c r="W26" t="e">
        <f>IF(#REF!,"AAAAADvf/xY=",0)</f>
        <v>#REF!</v>
      </c>
      <c r="X26" t="e">
        <f>IF(#REF!,"AAAAADvf/xc=",0)</f>
        <v>#REF!</v>
      </c>
      <c r="Y26" t="e">
        <f>IF(#REF!,"AAAAADvf/xg=",0)</f>
        <v>#REF!</v>
      </c>
      <c r="Z26" t="e">
        <f>IF(#REF!,"AAAAADvf/xk=",0)</f>
        <v>#REF!</v>
      </c>
      <c r="AA26" t="e">
        <f>AND(#REF!,"AAAAADvf/xo=")</f>
        <v>#REF!</v>
      </c>
      <c r="AB26" t="e">
        <f>AND(#REF!,"AAAAADvf/xs=")</f>
        <v>#REF!</v>
      </c>
      <c r="AC26" t="e">
        <f>AND(#REF!,"AAAAADvf/xw=")</f>
        <v>#REF!</v>
      </c>
      <c r="AD26" t="e">
        <f>AND(#REF!,"AAAAADvf/x0=")</f>
        <v>#REF!</v>
      </c>
      <c r="AE26" t="e">
        <f>AND(#REF!,"AAAAADvf/x4=")</f>
        <v>#REF!</v>
      </c>
      <c r="AF26" t="e">
        <f>AND(#REF!,"AAAAADvf/x8=")</f>
        <v>#REF!</v>
      </c>
      <c r="AG26" t="e">
        <f>AND(#REF!,"AAAAADvf/yA=")</f>
        <v>#REF!</v>
      </c>
      <c r="AH26" t="e">
        <f>AND(#REF!,"AAAAADvf/yE=")</f>
        <v>#REF!</v>
      </c>
      <c r="AI26" t="e">
        <f>AND(#REF!,"AAAAADvf/yI=")</f>
        <v>#REF!</v>
      </c>
      <c r="AJ26" t="e">
        <f>AND(#REF!,"AAAAADvf/yM=")</f>
        <v>#REF!</v>
      </c>
      <c r="AK26" t="e">
        <f>AND(#REF!,"AAAAADvf/yQ=")</f>
        <v>#REF!</v>
      </c>
      <c r="AL26" t="e">
        <f>IF(#REF!,"AAAAADvf/yU=",0)</f>
        <v>#REF!</v>
      </c>
      <c r="AM26" t="e">
        <f>AND(#REF!,"AAAAADvf/yY=")</f>
        <v>#REF!</v>
      </c>
      <c r="AN26" t="e">
        <f>AND(#REF!,"AAAAADvf/yc=")</f>
        <v>#REF!</v>
      </c>
      <c r="AO26" t="e">
        <f>AND(#REF!,"AAAAADvf/yg=")</f>
        <v>#REF!</v>
      </c>
      <c r="AP26" t="e">
        <f>AND(#REF!,"AAAAADvf/yk=")</f>
        <v>#REF!</v>
      </c>
      <c r="AQ26" t="e">
        <f>AND(#REF!,"AAAAADvf/yo=")</f>
        <v>#REF!</v>
      </c>
      <c r="AR26" t="e">
        <f>AND(#REF!,"AAAAADvf/ys=")</f>
        <v>#REF!</v>
      </c>
      <c r="AS26" t="e">
        <f>AND(#REF!,"AAAAADvf/yw=")</f>
        <v>#REF!</v>
      </c>
      <c r="AT26" t="e">
        <f>AND(#REF!,"AAAAADvf/y0=")</f>
        <v>#REF!</v>
      </c>
      <c r="AU26" t="e">
        <f>AND(#REF!,"AAAAADvf/y4=")</f>
        <v>#REF!</v>
      </c>
      <c r="AV26" t="e">
        <f>AND(#REF!,"AAAAADvf/y8=")</f>
        <v>#REF!</v>
      </c>
      <c r="AW26" t="e">
        <f>AND(#REF!,"AAAAADvf/zA=")</f>
        <v>#REF!</v>
      </c>
      <c r="AX26" t="e">
        <f>IF(#REF!,"AAAAADvf/zE=",0)</f>
        <v>#REF!</v>
      </c>
      <c r="AY26" t="e">
        <f>AND(#REF!,"AAAAADvf/zI=")</f>
        <v>#REF!</v>
      </c>
      <c r="AZ26" t="e">
        <f>AND(#REF!,"AAAAADvf/zM=")</f>
        <v>#REF!</v>
      </c>
      <c r="BA26" t="e">
        <f>AND(#REF!,"AAAAADvf/zQ=")</f>
        <v>#REF!</v>
      </c>
      <c r="BB26" t="e">
        <f>AND(#REF!,"AAAAADvf/zU=")</f>
        <v>#REF!</v>
      </c>
      <c r="BC26" t="e">
        <f>AND(#REF!,"AAAAADvf/zY=")</f>
        <v>#REF!</v>
      </c>
      <c r="BD26" t="e">
        <f>AND(#REF!,"AAAAADvf/zc=")</f>
        <v>#REF!</v>
      </c>
      <c r="BE26" t="e">
        <f>AND(#REF!,"AAAAADvf/zg=")</f>
        <v>#REF!</v>
      </c>
      <c r="BF26" t="e">
        <f>AND(#REF!,"AAAAADvf/zk=")</f>
        <v>#REF!</v>
      </c>
      <c r="BG26" t="e">
        <f>AND(#REF!,"AAAAADvf/zo=")</f>
        <v>#REF!</v>
      </c>
      <c r="BH26" t="e">
        <f>AND(#REF!,"AAAAADvf/zs=")</f>
        <v>#REF!</v>
      </c>
      <c r="BI26" t="e">
        <f>AND(#REF!,"AAAAADvf/zw=")</f>
        <v>#REF!</v>
      </c>
      <c r="BJ26" t="e">
        <f>IF(#REF!,"AAAAADvf/z0=",0)</f>
        <v>#REF!</v>
      </c>
      <c r="BK26" t="e">
        <f>AND(#REF!,"AAAAADvf/z4=")</f>
        <v>#REF!</v>
      </c>
      <c r="BL26" t="e">
        <f>AND(#REF!,"AAAAADvf/z8=")</f>
        <v>#REF!</v>
      </c>
      <c r="BM26" t="e">
        <f>AND(#REF!,"AAAAADvf/0A=")</f>
        <v>#REF!</v>
      </c>
      <c r="BN26" t="e">
        <f>AND(#REF!,"AAAAADvf/0E=")</f>
        <v>#REF!</v>
      </c>
      <c r="BO26" t="e">
        <f>AND(#REF!,"AAAAADvf/0I=")</f>
        <v>#REF!</v>
      </c>
      <c r="BP26" t="e">
        <f>AND(#REF!,"AAAAADvf/0M=")</f>
        <v>#REF!</v>
      </c>
      <c r="BQ26" t="e">
        <f>AND(#REF!,"AAAAADvf/0Q=")</f>
        <v>#REF!</v>
      </c>
      <c r="BR26" t="e">
        <f>AND(#REF!,"AAAAADvf/0U=")</f>
        <v>#REF!</v>
      </c>
      <c r="BS26" t="e">
        <f>AND(#REF!,"AAAAADvf/0Y=")</f>
        <v>#REF!</v>
      </c>
      <c r="BT26" t="e">
        <f>AND(#REF!,"AAAAADvf/0c=")</f>
        <v>#REF!</v>
      </c>
      <c r="BU26" t="e">
        <f>AND(#REF!,"AAAAADvf/0g=")</f>
        <v>#REF!</v>
      </c>
      <c r="BV26" t="e">
        <f>IF(#REF!,"AAAAADvf/0k=",0)</f>
        <v>#REF!</v>
      </c>
      <c r="BW26" t="e">
        <f>AND(#REF!,"AAAAADvf/0o=")</f>
        <v>#REF!</v>
      </c>
      <c r="BX26" t="e">
        <f>AND(#REF!,"AAAAADvf/0s=")</f>
        <v>#REF!</v>
      </c>
      <c r="BY26" t="e">
        <f>AND(#REF!,"AAAAADvf/0w=")</f>
        <v>#REF!</v>
      </c>
      <c r="BZ26" t="e">
        <f>AND(#REF!,"AAAAADvf/00=")</f>
        <v>#REF!</v>
      </c>
      <c r="CA26" t="e">
        <f>AND(#REF!,"AAAAADvf/04=")</f>
        <v>#REF!</v>
      </c>
      <c r="CB26" t="e">
        <f>AND(#REF!,"AAAAADvf/08=")</f>
        <v>#REF!</v>
      </c>
      <c r="CC26" t="e">
        <f>AND(#REF!,"AAAAADvf/1A=")</f>
        <v>#REF!</v>
      </c>
      <c r="CD26" t="e">
        <f>AND(#REF!,"AAAAADvf/1E=")</f>
        <v>#REF!</v>
      </c>
      <c r="CE26" t="e">
        <f>AND(#REF!,"AAAAADvf/1I=")</f>
        <v>#REF!</v>
      </c>
      <c r="CF26" t="e">
        <f>AND(#REF!,"AAAAADvf/1M=")</f>
        <v>#REF!</v>
      </c>
      <c r="CG26" t="e">
        <f>AND(#REF!,"AAAAADvf/1Q=")</f>
        <v>#REF!</v>
      </c>
      <c r="CH26" t="e">
        <f>IF(#REF!,"AAAAADvf/1U=",0)</f>
        <v>#REF!</v>
      </c>
      <c r="CI26" t="e">
        <f>AND(#REF!,"AAAAADvf/1Y=")</f>
        <v>#REF!</v>
      </c>
      <c r="CJ26" t="e">
        <f>AND(#REF!,"AAAAADvf/1c=")</f>
        <v>#REF!</v>
      </c>
      <c r="CK26" t="e">
        <f>AND(#REF!,"AAAAADvf/1g=")</f>
        <v>#REF!</v>
      </c>
      <c r="CL26" t="e">
        <f>AND(#REF!,"AAAAADvf/1k=")</f>
        <v>#REF!</v>
      </c>
      <c r="CM26" t="e">
        <f>AND(#REF!,"AAAAADvf/1o=")</f>
        <v>#REF!</v>
      </c>
      <c r="CN26" t="e">
        <f>AND(#REF!,"AAAAADvf/1s=")</f>
        <v>#REF!</v>
      </c>
      <c r="CO26" t="e">
        <f>AND(#REF!,"AAAAADvf/1w=")</f>
        <v>#REF!</v>
      </c>
      <c r="CP26" t="e">
        <f>AND(#REF!,"AAAAADvf/10=")</f>
        <v>#REF!</v>
      </c>
      <c r="CQ26" t="e">
        <f>AND(#REF!,"AAAAADvf/14=")</f>
        <v>#REF!</v>
      </c>
      <c r="CR26" t="e">
        <f>AND(#REF!,"AAAAADvf/18=")</f>
        <v>#REF!</v>
      </c>
      <c r="CS26" t="e">
        <f>AND(#REF!,"AAAAADvf/2A=")</f>
        <v>#REF!</v>
      </c>
      <c r="CT26" t="e">
        <f>IF(#REF!,"AAAAADvf/2E=",0)</f>
        <v>#REF!</v>
      </c>
      <c r="CU26" t="e">
        <f>AND(#REF!,"AAAAADvf/2I=")</f>
        <v>#REF!</v>
      </c>
      <c r="CV26" t="e">
        <f>AND(#REF!,"AAAAADvf/2M=")</f>
        <v>#REF!</v>
      </c>
      <c r="CW26" t="e">
        <f>AND(#REF!,"AAAAADvf/2Q=")</f>
        <v>#REF!</v>
      </c>
      <c r="CX26" t="e">
        <f>AND(#REF!,"AAAAADvf/2U=")</f>
        <v>#REF!</v>
      </c>
      <c r="CY26" t="e">
        <f>AND(#REF!,"AAAAADvf/2Y=")</f>
        <v>#REF!</v>
      </c>
      <c r="CZ26" t="e">
        <f>AND(#REF!,"AAAAADvf/2c=")</f>
        <v>#REF!</v>
      </c>
      <c r="DA26" t="e">
        <f>AND(#REF!,"AAAAADvf/2g=")</f>
        <v>#REF!</v>
      </c>
      <c r="DB26" t="e">
        <f>AND(#REF!,"AAAAADvf/2k=")</f>
        <v>#REF!</v>
      </c>
      <c r="DC26" t="e">
        <f>AND(#REF!,"AAAAADvf/2o=")</f>
        <v>#REF!</v>
      </c>
      <c r="DD26" t="e">
        <f>AND(#REF!,"AAAAADvf/2s=")</f>
        <v>#REF!</v>
      </c>
      <c r="DE26" t="e">
        <f>AND(#REF!,"AAAAADvf/2w=")</f>
        <v>#REF!</v>
      </c>
      <c r="DF26" t="e">
        <f>IF(#REF!,"AAAAADvf/20=",0)</f>
        <v>#REF!</v>
      </c>
      <c r="DG26" t="e">
        <f>AND(#REF!,"AAAAADvf/24=")</f>
        <v>#REF!</v>
      </c>
      <c r="DH26" t="e">
        <f>AND(#REF!,"AAAAADvf/28=")</f>
        <v>#REF!</v>
      </c>
      <c r="DI26" t="e">
        <f>AND(#REF!,"AAAAADvf/3A=")</f>
        <v>#REF!</v>
      </c>
      <c r="DJ26" t="e">
        <f>AND(#REF!,"AAAAADvf/3E=")</f>
        <v>#REF!</v>
      </c>
      <c r="DK26" t="e">
        <f>AND(#REF!,"AAAAADvf/3I=")</f>
        <v>#REF!</v>
      </c>
      <c r="DL26" t="e">
        <f>AND(#REF!,"AAAAADvf/3M=")</f>
        <v>#REF!</v>
      </c>
      <c r="DM26" t="e">
        <f>AND(#REF!,"AAAAADvf/3Q=")</f>
        <v>#REF!</v>
      </c>
      <c r="DN26" t="e">
        <f>AND(#REF!,"AAAAADvf/3U=")</f>
        <v>#REF!</v>
      </c>
      <c r="DO26" t="e">
        <f>AND(#REF!,"AAAAADvf/3Y=")</f>
        <v>#REF!</v>
      </c>
      <c r="DP26" t="e">
        <f>AND(#REF!,"AAAAADvf/3c=")</f>
        <v>#REF!</v>
      </c>
      <c r="DQ26" t="e">
        <f>AND(#REF!,"AAAAADvf/3g=")</f>
        <v>#REF!</v>
      </c>
      <c r="DR26" t="e">
        <f>IF(#REF!,"AAAAADvf/3k=",0)</f>
        <v>#REF!</v>
      </c>
      <c r="DS26" t="e">
        <f>AND(#REF!,"AAAAADvf/3o=")</f>
        <v>#REF!</v>
      </c>
      <c r="DT26" t="e">
        <f>AND(#REF!,"AAAAADvf/3s=")</f>
        <v>#REF!</v>
      </c>
      <c r="DU26" t="e">
        <f>AND(#REF!,"AAAAADvf/3w=")</f>
        <v>#REF!</v>
      </c>
      <c r="DV26" t="e">
        <f>AND(#REF!,"AAAAADvf/30=")</f>
        <v>#REF!</v>
      </c>
      <c r="DW26" t="e">
        <f>AND(#REF!,"AAAAADvf/34=")</f>
        <v>#REF!</v>
      </c>
      <c r="DX26" t="e">
        <f>AND(#REF!,"AAAAADvf/38=")</f>
        <v>#REF!</v>
      </c>
      <c r="DY26" t="e">
        <f>AND(#REF!,"AAAAADvf/4A=")</f>
        <v>#REF!</v>
      </c>
      <c r="DZ26" t="e">
        <f>AND(#REF!,"AAAAADvf/4E=")</f>
        <v>#REF!</v>
      </c>
      <c r="EA26" t="e">
        <f>AND(#REF!,"AAAAADvf/4I=")</f>
        <v>#REF!</v>
      </c>
      <c r="EB26" t="e">
        <f>AND(#REF!,"AAAAADvf/4M=")</f>
        <v>#REF!</v>
      </c>
      <c r="EC26" t="e">
        <f>AND(#REF!,"AAAAADvf/4Q=")</f>
        <v>#REF!</v>
      </c>
      <c r="ED26" t="e">
        <f>IF(#REF!,"AAAAADvf/4U=",0)</f>
        <v>#REF!</v>
      </c>
      <c r="EE26" t="e">
        <f>AND(#REF!,"AAAAADvf/4Y=")</f>
        <v>#REF!</v>
      </c>
      <c r="EF26" t="e">
        <f>AND(#REF!,"AAAAADvf/4c=")</f>
        <v>#REF!</v>
      </c>
      <c r="EG26" t="e">
        <f>AND(#REF!,"AAAAADvf/4g=")</f>
        <v>#REF!</v>
      </c>
      <c r="EH26" t="e">
        <f>AND(#REF!,"AAAAADvf/4k=")</f>
        <v>#REF!</v>
      </c>
      <c r="EI26" t="e">
        <f>AND(#REF!,"AAAAADvf/4o=")</f>
        <v>#REF!</v>
      </c>
      <c r="EJ26" t="e">
        <f>AND(#REF!,"AAAAADvf/4s=")</f>
        <v>#REF!</v>
      </c>
      <c r="EK26" t="e">
        <f>AND(#REF!,"AAAAADvf/4w=")</f>
        <v>#REF!</v>
      </c>
      <c r="EL26" t="e">
        <f>AND(#REF!,"AAAAADvf/40=")</f>
        <v>#REF!</v>
      </c>
      <c r="EM26" t="e">
        <f>AND(#REF!,"AAAAADvf/44=")</f>
        <v>#REF!</v>
      </c>
      <c r="EN26" t="e">
        <f>AND(#REF!,"AAAAADvf/48=")</f>
        <v>#REF!</v>
      </c>
      <c r="EO26" t="e">
        <f>AND(#REF!,"AAAAADvf/5A=")</f>
        <v>#REF!</v>
      </c>
      <c r="EP26" t="e">
        <f>IF(#REF!,"AAAAADvf/5E=",0)</f>
        <v>#REF!</v>
      </c>
      <c r="EQ26" t="e">
        <f>AND(#REF!,"AAAAADvf/5I=")</f>
        <v>#REF!</v>
      </c>
      <c r="ER26" t="e">
        <f>AND(#REF!,"AAAAADvf/5M=")</f>
        <v>#REF!</v>
      </c>
      <c r="ES26" t="e">
        <f>AND(#REF!,"AAAAADvf/5Q=")</f>
        <v>#REF!</v>
      </c>
      <c r="ET26" t="e">
        <f>AND(#REF!,"AAAAADvf/5U=")</f>
        <v>#REF!</v>
      </c>
      <c r="EU26" t="e">
        <f>AND(#REF!,"AAAAADvf/5Y=")</f>
        <v>#REF!</v>
      </c>
      <c r="EV26" t="e">
        <f>AND(#REF!,"AAAAADvf/5c=")</f>
        <v>#REF!</v>
      </c>
      <c r="EW26" t="e">
        <f>AND(#REF!,"AAAAADvf/5g=")</f>
        <v>#REF!</v>
      </c>
      <c r="EX26" t="e">
        <f>AND(#REF!,"AAAAADvf/5k=")</f>
        <v>#REF!</v>
      </c>
      <c r="EY26" t="e">
        <f>AND(#REF!,"AAAAADvf/5o=")</f>
        <v>#REF!</v>
      </c>
      <c r="EZ26" t="e">
        <f>AND(#REF!,"AAAAADvf/5s=")</f>
        <v>#REF!</v>
      </c>
      <c r="FA26" t="e">
        <f>AND(#REF!,"AAAAADvf/5w=")</f>
        <v>#REF!</v>
      </c>
      <c r="FB26" t="e">
        <f>IF(#REF!,"AAAAADvf/50=",0)</f>
        <v>#REF!</v>
      </c>
      <c r="FC26" t="e">
        <f>AND(#REF!,"AAAAADvf/54=")</f>
        <v>#REF!</v>
      </c>
      <c r="FD26" t="e">
        <f>AND(#REF!,"AAAAADvf/58=")</f>
        <v>#REF!</v>
      </c>
      <c r="FE26" t="e">
        <f>AND(#REF!,"AAAAADvf/6A=")</f>
        <v>#REF!</v>
      </c>
      <c r="FF26" t="e">
        <f>AND(#REF!,"AAAAADvf/6E=")</f>
        <v>#REF!</v>
      </c>
      <c r="FG26" t="e">
        <f>AND(#REF!,"AAAAADvf/6I=")</f>
        <v>#REF!</v>
      </c>
      <c r="FH26" t="e">
        <f>AND(#REF!,"AAAAADvf/6M=")</f>
        <v>#REF!</v>
      </c>
      <c r="FI26" t="e">
        <f>AND(#REF!,"AAAAADvf/6Q=")</f>
        <v>#REF!</v>
      </c>
      <c r="FJ26" t="e">
        <f>AND(#REF!,"AAAAADvf/6U=")</f>
        <v>#REF!</v>
      </c>
      <c r="FK26" t="e">
        <f>AND(#REF!,"AAAAADvf/6Y=")</f>
        <v>#REF!</v>
      </c>
      <c r="FL26" t="e">
        <f>AND(#REF!,"AAAAADvf/6c=")</f>
        <v>#REF!</v>
      </c>
      <c r="FM26" t="e">
        <f>AND(#REF!,"AAAAADvf/6g=")</f>
        <v>#REF!</v>
      </c>
      <c r="FN26" t="e">
        <f>IF(#REF!,"AAAAADvf/6k=",0)</f>
        <v>#REF!</v>
      </c>
      <c r="FO26" t="e">
        <f>AND(#REF!,"AAAAADvf/6o=")</f>
        <v>#REF!</v>
      </c>
      <c r="FP26" t="e">
        <f>AND(#REF!,"AAAAADvf/6s=")</f>
        <v>#REF!</v>
      </c>
      <c r="FQ26" t="e">
        <f>AND(#REF!,"AAAAADvf/6w=")</f>
        <v>#REF!</v>
      </c>
      <c r="FR26" t="e">
        <f>AND(#REF!,"AAAAADvf/60=")</f>
        <v>#REF!</v>
      </c>
      <c r="FS26" t="e">
        <f>AND(#REF!,"AAAAADvf/64=")</f>
        <v>#REF!</v>
      </c>
      <c r="FT26" t="e">
        <f>AND(#REF!,"AAAAADvf/68=")</f>
        <v>#REF!</v>
      </c>
      <c r="FU26" t="e">
        <f>AND(#REF!,"AAAAADvf/7A=")</f>
        <v>#REF!</v>
      </c>
      <c r="FV26" t="e">
        <f>AND(#REF!,"AAAAADvf/7E=")</f>
        <v>#REF!</v>
      </c>
      <c r="FW26" t="e">
        <f>AND(#REF!,"AAAAADvf/7I=")</f>
        <v>#REF!</v>
      </c>
      <c r="FX26" t="e">
        <f>AND(#REF!,"AAAAADvf/7M=")</f>
        <v>#REF!</v>
      </c>
      <c r="FY26" t="e">
        <f>AND(#REF!,"AAAAADvf/7Q=")</f>
        <v>#REF!</v>
      </c>
      <c r="FZ26" t="e">
        <f>IF(#REF!,"AAAAADvf/7U=",0)</f>
        <v>#REF!</v>
      </c>
      <c r="GA26" t="e">
        <f>AND(#REF!,"AAAAADvf/7Y=")</f>
        <v>#REF!</v>
      </c>
      <c r="GB26" t="e">
        <f>AND(#REF!,"AAAAADvf/7c=")</f>
        <v>#REF!</v>
      </c>
      <c r="GC26" t="e">
        <f>AND(#REF!,"AAAAADvf/7g=")</f>
        <v>#REF!</v>
      </c>
      <c r="GD26" t="e">
        <f>AND(#REF!,"AAAAADvf/7k=")</f>
        <v>#REF!</v>
      </c>
      <c r="GE26" t="e">
        <f>AND(#REF!,"AAAAADvf/7o=")</f>
        <v>#REF!</v>
      </c>
      <c r="GF26" t="e">
        <f>AND(#REF!,"AAAAADvf/7s=")</f>
        <v>#REF!</v>
      </c>
      <c r="GG26" t="e">
        <f>AND(#REF!,"AAAAADvf/7w=")</f>
        <v>#REF!</v>
      </c>
      <c r="GH26" t="e">
        <f>AND(#REF!,"AAAAADvf/70=")</f>
        <v>#REF!</v>
      </c>
      <c r="GI26" t="e">
        <f>AND(#REF!,"AAAAADvf/74=")</f>
        <v>#REF!</v>
      </c>
      <c r="GJ26" t="e">
        <f>AND(#REF!,"AAAAADvf/78=")</f>
        <v>#REF!</v>
      </c>
      <c r="GK26" t="e">
        <f>AND(#REF!,"AAAAADvf/8A=")</f>
        <v>#REF!</v>
      </c>
      <c r="GL26" t="e">
        <f>IF(#REF!,"AAAAADvf/8E=",0)</f>
        <v>#REF!</v>
      </c>
      <c r="GM26" t="e">
        <f>AND(#REF!,"AAAAADvf/8I=")</f>
        <v>#REF!</v>
      </c>
      <c r="GN26" t="e">
        <f>AND(#REF!,"AAAAADvf/8M=")</f>
        <v>#REF!</v>
      </c>
      <c r="GO26" t="e">
        <f>AND(#REF!,"AAAAADvf/8Q=")</f>
        <v>#REF!</v>
      </c>
      <c r="GP26" t="e">
        <f>AND(#REF!,"AAAAADvf/8U=")</f>
        <v>#REF!</v>
      </c>
      <c r="GQ26" t="e">
        <f>AND(#REF!,"AAAAADvf/8Y=")</f>
        <v>#REF!</v>
      </c>
      <c r="GR26" t="e">
        <f>AND(#REF!,"AAAAADvf/8c=")</f>
        <v>#REF!</v>
      </c>
      <c r="GS26" t="e">
        <f>AND(#REF!,"AAAAADvf/8g=")</f>
        <v>#REF!</v>
      </c>
      <c r="GT26" t="e">
        <f>AND(#REF!,"AAAAADvf/8k=")</f>
        <v>#REF!</v>
      </c>
      <c r="GU26" t="e">
        <f>AND(#REF!,"AAAAADvf/8o=")</f>
        <v>#REF!</v>
      </c>
      <c r="GV26" t="e">
        <f>AND(#REF!,"AAAAADvf/8s=")</f>
        <v>#REF!</v>
      </c>
      <c r="GW26" t="e">
        <f>AND(#REF!,"AAAAADvf/8w=")</f>
        <v>#REF!</v>
      </c>
      <c r="GX26" t="e">
        <f>IF(#REF!,"AAAAADvf/80=",0)</f>
        <v>#REF!</v>
      </c>
      <c r="GY26" t="e">
        <f>AND(#REF!,"AAAAADvf/84=")</f>
        <v>#REF!</v>
      </c>
      <c r="GZ26" t="e">
        <f>AND(#REF!,"AAAAADvf/88=")</f>
        <v>#REF!</v>
      </c>
      <c r="HA26" t="e">
        <f>AND(#REF!,"AAAAADvf/9A=")</f>
        <v>#REF!</v>
      </c>
      <c r="HB26" t="e">
        <f>AND(#REF!,"AAAAADvf/9E=")</f>
        <v>#REF!</v>
      </c>
      <c r="HC26" t="e">
        <f>AND(#REF!,"AAAAADvf/9I=")</f>
        <v>#REF!</v>
      </c>
      <c r="HD26" t="e">
        <f>AND(#REF!,"AAAAADvf/9M=")</f>
        <v>#REF!</v>
      </c>
      <c r="HE26" t="e">
        <f>AND(#REF!,"AAAAADvf/9Q=")</f>
        <v>#REF!</v>
      </c>
      <c r="HF26" t="e">
        <f>AND(#REF!,"AAAAADvf/9U=")</f>
        <v>#REF!</v>
      </c>
      <c r="HG26" t="e">
        <f>AND(#REF!,"AAAAADvf/9Y=")</f>
        <v>#REF!</v>
      </c>
      <c r="HH26" t="e">
        <f>AND(#REF!,"AAAAADvf/9c=")</f>
        <v>#REF!</v>
      </c>
      <c r="HI26" t="e">
        <f>AND(#REF!,"AAAAADvf/9g=")</f>
        <v>#REF!</v>
      </c>
      <c r="HJ26" t="e">
        <f>IF(#REF!,"AAAAADvf/9k=",0)</f>
        <v>#REF!</v>
      </c>
      <c r="HK26" t="e">
        <f>AND(#REF!,"AAAAADvf/9o=")</f>
        <v>#REF!</v>
      </c>
      <c r="HL26" t="e">
        <f>AND(#REF!,"AAAAADvf/9s=")</f>
        <v>#REF!</v>
      </c>
      <c r="HM26" t="e">
        <f>AND(#REF!,"AAAAADvf/9w=")</f>
        <v>#REF!</v>
      </c>
      <c r="HN26" t="e">
        <f>AND(#REF!,"AAAAADvf/90=")</f>
        <v>#REF!</v>
      </c>
      <c r="HO26" t="e">
        <f>AND(#REF!,"AAAAADvf/94=")</f>
        <v>#REF!</v>
      </c>
      <c r="HP26" t="e">
        <f>AND(#REF!,"AAAAADvf/98=")</f>
        <v>#REF!</v>
      </c>
      <c r="HQ26" t="e">
        <f>AND(#REF!,"AAAAADvf/+A=")</f>
        <v>#REF!</v>
      </c>
      <c r="HR26" t="e">
        <f>AND(#REF!,"AAAAADvf/+E=")</f>
        <v>#REF!</v>
      </c>
      <c r="HS26" t="e">
        <f>AND(#REF!,"AAAAADvf/+I=")</f>
        <v>#REF!</v>
      </c>
      <c r="HT26" t="e">
        <f>AND(#REF!,"AAAAADvf/+M=")</f>
        <v>#REF!</v>
      </c>
      <c r="HU26" t="e">
        <f>AND(#REF!,"AAAAADvf/+Q=")</f>
        <v>#REF!</v>
      </c>
      <c r="HV26" t="e">
        <f>IF(#REF!,"AAAAADvf/+U=",0)</f>
        <v>#REF!</v>
      </c>
      <c r="HW26" t="e">
        <f>AND(#REF!,"AAAAADvf/+Y=")</f>
        <v>#REF!</v>
      </c>
      <c r="HX26" t="e">
        <f>AND(#REF!,"AAAAADvf/+c=")</f>
        <v>#REF!</v>
      </c>
      <c r="HY26" t="e">
        <f>AND(#REF!,"AAAAADvf/+g=")</f>
        <v>#REF!</v>
      </c>
      <c r="HZ26" t="e">
        <f>AND(#REF!,"AAAAADvf/+k=")</f>
        <v>#REF!</v>
      </c>
      <c r="IA26" t="e">
        <f>AND(#REF!,"AAAAADvf/+o=")</f>
        <v>#REF!</v>
      </c>
      <c r="IB26" t="e">
        <f>AND(#REF!,"AAAAADvf/+s=")</f>
        <v>#REF!</v>
      </c>
      <c r="IC26" t="e">
        <f>AND(#REF!,"AAAAADvf/+w=")</f>
        <v>#REF!</v>
      </c>
      <c r="ID26" t="e">
        <f>AND(#REF!,"AAAAADvf/+0=")</f>
        <v>#REF!</v>
      </c>
      <c r="IE26" t="e">
        <f>AND(#REF!,"AAAAADvf/+4=")</f>
        <v>#REF!</v>
      </c>
      <c r="IF26" t="e">
        <f>AND(#REF!,"AAAAADvf/+8=")</f>
        <v>#REF!</v>
      </c>
      <c r="IG26" t="e">
        <f>AND(#REF!,"AAAAADvf//A=")</f>
        <v>#REF!</v>
      </c>
      <c r="IH26" t="e">
        <f>IF(#REF!,"AAAAADvf//E=",0)</f>
        <v>#REF!</v>
      </c>
      <c r="II26" t="e">
        <f>AND(#REF!,"AAAAADvf//I=")</f>
        <v>#REF!</v>
      </c>
      <c r="IJ26" t="e">
        <f>AND(#REF!,"AAAAADvf//M=")</f>
        <v>#REF!</v>
      </c>
      <c r="IK26" t="e">
        <f>AND(#REF!,"AAAAADvf//Q=")</f>
        <v>#REF!</v>
      </c>
      <c r="IL26" t="e">
        <f>AND(#REF!,"AAAAADvf//U=")</f>
        <v>#REF!</v>
      </c>
      <c r="IM26" t="e">
        <f>AND(#REF!,"AAAAADvf//Y=")</f>
        <v>#REF!</v>
      </c>
      <c r="IN26" t="e">
        <f>AND(#REF!,"AAAAADvf//c=")</f>
        <v>#REF!</v>
      </c>
      <c r="IO26" t="e">
        <f>AND(#REF!,"AAAAADvf//g=")</f>
        <v>#REF!</v>
      </c>
      <c r="IP26" t="e">
        <f>AND(#REF!,"AAAAADvf//k=")</f>
        <v>#REF!</v>
      </c>
      <c r="IQ26" t="e">
        <f>AND(#REF!,"AAAAADvf//o=")</f>
        <v>#REF!</v>
      </c>
      <c r="IR26" t="e">
        <f>AND(#REF!,"AAAAADvf//s=")</f>
        <v>#REF!</v>
      </c>
      <c r="IS26" t="e">
        <f>AND(#REF!,"AAAAADvf//w=")</f>
        <v>#REF!</v>
      </c>
      <c r="IT26" t="e">
        <f>IF(#REF!,"AAAAADvf//0=",0)</f>
        <v>#REF!</v>
      </c>
      <c r="IU26" t="e">
        <f>AND(#REF!,"AAAAADvf//4=")</f>
        <v>#REF!</v>
      </c>
      <c r="IV26" t="e">
        <f>AND(#REF!,"AAAAADvf//8=")</f>
        <v>#REF!</v>
      </c>
    </row>
    <row r="27" spans="1:256">
      <c r="A27" t="e">
        <f>AND(#REF!,"AAAAAA7L+wA=")</f>
        <v>#REF!</v>
      </c>
      <c r="B27" t="e">
        <f>AND(#REF!,"AAAAAA7L+wE=")</f>
        <v>#REF!</v>
      </c>
      <c r="C27" t="e">
        <f>AND(#REF!,"AAAAAA7L+wI=")</f>
        <v>#REF!</v>
      </c>
      <c r="D27" t="e">
        <f>AND(#REF!,"AAAAAA7L+wM=")</f>
        <v>#REF!</v>
      </c>
      <c r="E27" t="e">
        <f>AND(#REF!,"AAAAAA7L+wQ=")</f>
        <v>#REF!</v>
      </c>
      <c r="F27" t="e">
        <f>AND(#REF!,"AAAAAA7L+wU=")</f>
        <v>#REF!</v>
      </c>
      <c r="G27" t="e">
        <f>AND(#REF!,"AAAAAA7L+wY=")</f>
        <v>#REF!</v>
      </c>
      <c r="H27" t="e">
        <f>AND(#REF!,"AAAAAA7L+wc=")</f>
        <v>#REF!</v>
      </c>
      <c r="I27" t="e">
        <f>AND(#REF!,"AAAAAA7L+wg=")</f>
        <v>#REF!</v>
      </c>
      <c r="J27" t="e">
        <f>IF(#REF!,"AAAAAA7L+wk=",0)</f>
        <v>#REF!</v>
      </c>
      <c r="K27" t="e">
        <f>AND(#REF!,"AAAAAA7L+wo=")</f>
        <v>#REF!</v>
      </c>
      <c r="L27" t="e">
        <f>AND(#REF!,"AAAAAA7L+ws=")</f>
        <v>#REF!</v>
      </c>
      <c r="M27" t="e">
        <f>AND(#REF!,"AAAAAA7L+ww=")</f>
        <v>#REF!</v>
      </c>
      <c r="N27" t="e">
        <f>AND(#REF!,"AAAAAA7L+w0=")</f>
        <v>#REF!</v>
      </c>
      <c r="O27" t="e">
        <f>AND(#REF!,"AAAAAA7L+w4=")</f>
        <v>#REF!</v>
      </c>
      <c r="P27" t="e">
        <f>AND(#REF!,"AAAAAA7L+w8=")</f>
        <v>#REF!</v>
      </c>
      <c r="Q27" t="e">
        <f>AND(#REF!,"AAAAAA7L+xA=")</f>
        <v>#REF!</v>
      </c>
      <c r="R27" t="e">
        <f>AND(#REF!,"AAAAAA7L+xE=")</f>
        <v>#REF!</v>
      </c>
      <c r="S27" t="e">
        <f>AND(#REF!,"AAAAAA7L+xI=")</f>
        <v>#REF!</v>
      </c>
      <c r="T27" t="e">
        <f>AND(#REF!,"AAAAAA7L+xM=")</f>
        <v>#REF!</v>
      </c>
      <c r="U27" t="e">
        <f>AND(#REF!,"AAAAAA7L+xQ=")</f>
        <v>#REF!</v>
      </c>
      <c r="V27" t="e">
        <f>IF(#REF!,"AAAAAA7L+xU=",0)</f>
        <v>#REF!</v>
      </c>
      <c r="W27" t="e">
        <f>AND(#REF!,"AAAAAA7L+xY=")</f>
        <v>#REF!</v>
      </c>
      <c r="X27" t="e">
        <f>AND(#REF!,"AAAAAA7L+xc=")</f>
        <v>#REF!</v>
      </c>
      <c r="Y27" t="e">
        <f>AND(#REF!,"AAAAAA7L+xg=")</f>
        <v>#REF!</v>
      </c>
      <c r="Z27" t="e">
        <f>AND(#REF!,"AAAAAA7L+xk=")</f>
        <v>#REF!</v>
      </c>
      <c r="AA27" t="e">
        <f>AND(#REF!,"AAAAAA7L+xo=")</f>
        <v>#REF!</v>
      </c>
      <c r="AB27" t="e">
        <f>AND(#REF!,"AAAAAA7L+xs=")</f>
        <v>#REF!</v>
      </c>
      <c r="AC27" t="e">
        <f>AND(#REF!,"AAAAAA7L+xw=")</f>
        <v>#REF!</v>
      </c>
      <c r="AD27" t="e">
        <f>AND(#REF!,"AAAAAA7L+x0=")</f>
        <v>#REF!</v>
      </c>
      <c r="AE27" t="e">
        <f>AND(#REF!,"AAAAAA7L+x4=")</f>
        <v>#REF!</v>
      </c>
      <c r="AF27" t="e">
        <f>AND(#REF!,"AAAAAA7L+x8=")</f>
        <v>#REF!</v>
      </c>
      <c r="AG27" t="e">
        <f>AND(#REF!,"AAAAAA7L+yA=")</f>
        <v>#REF!</v>
      </c>
      <c r="AH27" t="e">
        <f>IF(#REF!,"AAAAAA7L+yE=",0)</f>
        <v>#REF!</v>
      </c>
      <c r="AI27" t="e">
        <f>AND(#REF!,"AAAAAA7L+yI=")</f>
        <v>#REF!</v>
      </c>
      <c r="AJ27" t="e">
        <f>AND(#REF!,"AAAAAA7L+yM=")</f>
        <v>#REF!</v>
      </c>
      <c r="AK27" t="e">
        <f>AND(#REF!,"AAAAAA7L+yQ=")</f>
        <v>#REF!</v>
      </c>
      <c r="AL27" t="e">
        <f>AND(#REF!,"AAAAAA7L+yU=")</f>
        <v>#REF!</v>
      </c>
      <c r="AM27" t="e">
        <f>AND(#REF!,"AAAAAA7L+yY=")</f>
        <v>#REF!</v>
      </c>
      <c r="AN27" t="e">
        <f>AND(#REF!,"AAAAAA7L+yc=")</f>
        <v>#REF!</v>
      </c>
      <c r="AO27" t="e">
        <f>AND(#REF!,"AAAAAA7L+yg=")</f>
        <v>#REF!</v>
      </c>
      <c r="AP27" t="e">
        <f>AND(#REF!,"AAAAAA7L+yk=")</f>
        <v>#REF!</v>
      </c>
      <c r="AQ27" t="e">
        <f>AND(#REF!,"AAAAAA7L+yo=")</f>
        <v>#REF!</v>
      </c>
      <c r="AR27" t="e">
        <f>AND(#REF!,"AAAAAA7L+ys=")</f>
        <v>#REF!</v>
      </c>
      <c r="AS27" t="e">
        <f>AND(#REF!,"AAAAAA7L+yw=")</f>
        <v>#REF!</v>
      </c>
      <c r="AT27" t="e">
        <f>IF(#REF!,"AAAAAA7L+y0=",0)</f>
        <v>#REF!</v>
      </c>
      <c r="AU27" t="e">
        <f>AND(#REF!,"AAAAAA7L+y4=")</f>
        <v>#REF!</v>
      </c>
      <c r="AV27" t="e">
        <f>AND(#REF!,"AAAAAA7L+y8=")</f>
        <v>#REF!</v>
      </c>
      <c r="AW27" t="e">
        <f>AND(#REF!,"AAAAAA7L+zA=")</f>
        <v>#REF!</v>
      </c>
      <c r="AX27" t="e">
        <f>AND(#REF!,"AAAAAA7L+zE=")</f>
        <v>#REF!</v>
      </c>
      <c r="AY27" t="e">
        <f>AND(#REF!,"AAAAAA7L+zI=")</f>
        <v>#REF!</v>
      </c>
      <c r="AZ27" t="e">
        <f>AND(#REF!,"AAAAAA7L+zM=")</f>
        <v>#REF!</v>
      </c>
      <c r="BA27" t="e">
        <f>AND(#REF!,"AAAAAA7L+zQ=")</f>
        <v>#REF!</v>
      </c>
      <c r="BB27" t="e">
        <f>AND(#REF!,"AAAAAA7L+zU=")</f>
        <v>#REF!</v>
      </c>
      <c r="BC27" t="e">
        <f>AND(#REF!,"AAAAAA7L+zY=")</f>
        <v>#REF!</v>
      </c>
      <c r="BD27" t="e">
        <f>AND(#REF!,"AAAAAA7L+zc=")</f>
        <v>#REF!</v>
      </c>
      <c r="BE27" t="e">
        <f>AND(#REF!,"AAAAAA7L+zg=")</f>
        <v>#REF!</v>
      </c>
      <c r="BF27" t="e">
        <f>IF(#REF!,"AAAAAA7L+zk=",0)</f>
        <v>#REF!</v>
      </c>
      <c r="BG27" t="e">
        <f>AND(#REF!,"AAAAAA7L+zo=")</f>
        <v>#REF!</v>
      </c>
      <c r="BH27" t="e">
        <f>AND(#REF!,"AAAAAA7L+zs=")</f>
        <v>#REF!</v>
      </c>
      <c r="BI27" t="e">
        <f>AND(#REF!,"AAAAAA7L+zw=")</f>
        <v>#REF!</v>
      </c>
      <c r="BJ27" t="e">
        <f>AND(#REF!,"AAAAAA7L+z0=")</f>
        <v>#REF!</v>
      </c>
      <c r="BK27" t="e">
        <f>AND(#REF!,"AAAAAA7L+z4=")</f>
        <v>#REF!</v>
      </c>
      <c r="BL27" t="e">
        <f>AND(#REF!,"AAAAAA7L+z8=")</f>
        <v>#REF!</v>
      </c>
      <c r="BM27" t="e">
        <f>AND(#REF!,"AAAAAA7L+0A=")</f>
        <v>#REF!</v>
      </c>
      <c r="BN27" t="e">
        <f>AND(#REF!,"AAAAAA7L+0E=")</f>
        <v>#REF!</v>
      </c>
      <c r="BO27" t="e">
        <f>AND(#REF!,"AAAAAA7L+0I=")</f>
        <v>#REF!</v>
      </c>
      <c r="BP27" t="e">
        <f>AND(#REF!,"AAAAAA7L+0M=")</f>
        <v>#REF!</v>
      </c>
      <c r="BQ27" t="e">
        <f>AND(#REF!,"AAAAAA7L+0Q=")</f>
        <v>#REF!</v>
      </c>
      <c r="BR27" t="e">
        <f>IF(#REF!,"AAAAAA7L+0U=",0)</f>
        <v>#REF!</v>
      </c>
      <c r="BS27" t="e">
        <f>AND(#REF!,"AAAAAA7L+0Y=")</f>
        <v>#REF!</v>
      </c>
      <c r="BT27" t="e">
        <f>AND(#REF!,"AAAAAA7L+0c=")</f>
        <v>#REF!</v>
      </c>
      <c r="BU27" t="e">
        <f>AND(#REF!,"AAAAAA7L+0g=")</f>
        <v>#REF!</v>
      </c>
      <c r="BV27" t="e">
        <f>AND(#REF!,"AAAAAA7L+0k=")</f>
        <v>#REF!</v>
      </c>
      <c r="BW27" t="e">
        <f>AND(#REF!,"AAAAAA7L+0o=")</f>
        <v>#REF!</v>
      </c>
      <c r="BX27" t="e">
        <f>AND(#REF!,"AAAAAA7L+0s=")</f>
        <v>#REF!</v>
      </c>
      <c r="BY27" t="e">
        <f>AND(#REF!,"AAAAAA7L+0w=")</f>
        <v>#REF!</v>
      </c>
      <c r="BZ27" t="e">
        <f>AND(#REF!,"AAAAAA7L+00=")</f>
        <v>#REF!</v>
      </c>
      <c r="CA27" t="e">
        <f>AND(#REF!,"AAAAAA7L+04=")</f>
        <v>#REF!</v>
      </c>
      <c r="CB27" t="e">
        <f>AND(#REF!,"AAAAAA7L+08=")</f>
        <v>#REF!</v>
      </c>
      <c r="CC27" t="e">
        <f>AND(#REF!,"AAAAAA7L+1A=")</f>
        <v>#REF!</v>
      </c>
      <c r="CD27" t="e">
        <f>IF(#REF!,"AAAAAA7L+1E=",0)</f>
        <v>#REF!</v>
      </c>
      <c r="CE27" t="e">
        <f>AND(#REF!,"AAAAAA7L+1I=")</f>
        <v>#REF!</v>
      </c>
      <c r="CF27" t="e">
        <f>AND(#REF!,"AAAAAA7L+1M=")</f>
        <v>#REF!</v>
      </c>
      <c r="CG27" t="e">
        <f>AND(#REF!,"AAAAAA7L+1Q=")</f>
        <v>#REF!</v>
      </c>
      <c r="CH27" t="e">
        <f>AND(#REF!,"AAAAAA7L+1U=")</f>
        <v>#REF!</v>
      </c>
      <c r="CI27" t="e">
        <f>AND(#REF!,"AAAAAA7L+1Y=")</f>
        <v>#REF!</v>
      </c>
      <c r="CJ27" t="e">
        <f>AND(#REF!,"AAAAAA7L+1c=")</f>
        <v>#REF!</v>
      </c>
      <c r="CK27" t="e">
        <f>AND(#REF!,"AAAAAA7L+1g=")</f>
        <v>#REF!</v>
      </c>
      <c r="CL27" t="e">
        <f>AND(#REF!,"AAAAAA7L+1k=")</f>
        <v>#REF!</v>
      </c>
      <c r="CM27" t="e">
        <f>AND(#REF!,"AAAAAA7L+1o=")</f>
        <v>#REF!</v>
      </c>
      <c r="CN27" t="e">
        <f>AND(#REF!,"AAAAAA7L+1s=")</f>
        <v>#REF!</v>
      </c>
      <c r="CO27" t="e">
        <f>AND(#REF!,"AAAAAA7L+1w=")</f>
        <v>#REF!</v>
      </c>
      <c r="CP27" t="e">
        <f>IF(#REF!,"AAAAAA7L+10=",0)</f>
        <v>#REF!</v>
      </c>
      <c r="CQ27" t="e">
        <f>AND(#REF!,"AAAAAA7L+14=")</f>
        <v>#REF!</v>
      </c>
      <c r="CR27" t="e">
        <f>AND(#REF!,"AAAAAA7L+18=")</f>
        <v>#REF!</v>
      </c>
      <c r="CS27" t="e">
        <f>AND(#REF!,"AAAAAA7L+2A=")</f>
        <v>#REF!</v>
      </c>
      <c r="CT27" t="e">
        <f>AND(#REF!,"AAAAAA7L+2E=")</f>
        <v>#REF!</v>
      </c>
      <c r="CU27" t="e">
        <f>AND(#REF!,"AAAAAA7L+2I=")</f>
        <v>#REF!</v>
      </c>
      <c r="CV27" t="e">
        <f>AND(#REF!,"AAAAAA7L+2M=")</f>
        <v>#REF!</v>
      </c>
      <c r="CW27" t="e">
        <f>AND(#REF!,"AAAAAA7L+2Q=")</f>
        <v>#REF!</v>
      </c>
      <c r="CX27" t="e">
        <f>AND(#REF!,"AAAAAA7L+2U=")</f>
        <v>#REF!</v>
      </c>
      <c r="CY27" t="e">
        <f>AND(#REF!,"AAAAAA7L+2Y=")</f>
        <v>#REF!</v>
      </c>
      <c r="CZ27" t="e">
        <f>AND(#REF!,"AAAAAA7L+2c=")</f>
        <v>#REF!</v>
      </c>
      <c r="DA27" t="e">
        <f>AND(#REF!,"AAAAAA7L+2g=")</f>
        <v>#REF!</v>
      </c>
      <c r="DB27" t="e">
        <f>IF(#REF!,"AAAAAA7L+2k=",0)</f>
        <v>#REF!</v>
      </c>
      <c r="DC27" t="e">
        <f>AND(#REF!,"AAAAAA7L+2o=")</f>
        <v>#REF!</v>
      </c>
      <c r="DD27" t="e">
        <f>AND(#REF!,"AAAAAA7L+2s=")</f>
        <v>#REF!</v>
      </c>
      <c r="DE27" t="e">
        <f>AND(#REF!,"AAAAAA7L+2w=")</f>
        <v>#REF!</v>
      </c>
      <c r="DF27" t="e">
        <f>AND(#REF!,"AAAAAA7L+20=")</f>
        <v>#REF!</v>
      </c>
      <c r="DG27" t="e">
        <f>AND(#REF!,"AAAAAA7L+24=")</f>
        <v>#REF!</v>
      </c>
      <c r="DH27" t="e">
        <f>AND(#REF!,"AAAAAA7L+28=")</f>
        <v>#REF!</v>
      </c>
      <c r="DI27" t="e">
        <f>AND(#REF!,"AAAAAA7L+3A=")</f>
        <v>#REF!</v>
      </c>
      <c r="DJ27" t="e">
        <f>AND(#REF!,"AAAAAA7L+3E=")</f>
        <v>#REF!</v>
      </c>
      <c r="DK27" t="e">
        <f>AND(#REF!,"AAAAAA7L+3I=")</f>
        <v>#REF!</v>
      </c>
      <c r="DL27" t="e">
        <f>AND(#REF!,"AAAAAA7L+3M=")</f>
        <v>#REF!</v>
      </c>
      <c r="DM27" t="e">
        <f>AND(#REF!,"AAAAAA7L+3Q=")</f>
        <v>#REF!</v>
      </c>
      <c r="DN27" t="e">
        <f>IF(#REF!,"AAAAAA7L+3U=",0)</f>
        <v>#REF!</v>
      </c>
      <c r="DO27" t="e">
        <f>AND(#REF!,"AAAAAA7L+3Y=")</f>
        <v>#REF!</v>
      </c>
      <c r="DP27" t="e">
        <f>AND(#REF!,"AAAAAA7L+3c=")</f>
        <v>#REF!</v>
      </c>
      <c r="DQ27" t="e">
        <f>AND(#REF!,"AAAAAA7L+3g=")</f>
        <v>#REF!</v>
      </c>
      <c r="DR27" t="e">
        <f>AND(#REF!,"AAAAAA7L+3k=")</f>
        <v>#REF!</v>
      </c>
      <c r="DS27" t="e">
        <f>AND(#REF!,"AAAAAA7L+3o=")</f>
        <v>#REF!</v>
      </c>
      <c r="DT27" t="e">
        <f>AND(#REF!,"AAAAAA7L+3s=")</f>
        <v>#REF!</v>
      </c>
      <c r="DU27" t="e">
        <f>AND(#REF!,"AAAAAA7L+3w=")</f>
        <v>#REF!</v>
      </c>
      <c r="DV27" t="e">
        <f>AND(#REF!,"AAAAAA7L+30=")</f>
        <v>#REF!</v>
      </c>
      <c r="DW27" t="e">
        <f>AND(#REF!,"AAAAAA7L+34=")</f>
        <v>#REF!</v>
      </c>
      <c r="DX27" t="e">
        <f>AND(#REF!,"AAAAAA7L+38=")</f>
        <v>#REF!</v>
      </c>
      <c r="DY27" t="e">
        <f>AND(#REF!,"AAAAAA7L+4A=")</f>
        <v>#REF!</v>
      </c>
      <c r="DZ27" t="e">
        <f>IF(#REF!,"AAAAAA7L+4E=",0)</f>
        <v>#REF!</v>
      </c>
      <c r="EA27" t="e">
        <f>AND(#REF!,"AAAAAA7L+4I=")</f>
        <v>#REF!</v>
      </c>
      <c r="EB27" t="e">
        <f>AND(#REF!,"AAAAAA7L+4M=")</f>
        <v>#REF!</v>
      </c>
      <c r="EC27" t="e">
        <f>AND(#REF!,"AAAAAA7L+4Q=")</f>
        <v>#REF!</v>
      </c>
      <c r="ED27" t="e">
        <f>AND(#REF!,"AAAAAA7L+4U=")</f>
        <v>#REF!</v>
      </c>
      <c r="EE27" t="e">
        <f>AND(#REF!,"AAAAAA7L+4Y=")</f>
        <v>#REF!</v>
      </c>
      <c r="EF27" t="e">
        <f>AND(#REF!,"AAAAAA7L+4c=")</f>
        <v>#REF!</v>
      </c>
      <c r="EG27" t="e">
        <f>AND(#REF!,"AAAAAA7L+4g=")</f>
        <v>#REF!</v>
      </c>
      <c r="EH27" t="e">
        <f>AND(#REF!,"AAAAAA7L+4k=")</f>
        <v>#REF!</v>
      </c>
      <c r="EI27" t="e">
        <f>AND(#REF!,"AAAAAA7L+4o=")</f>
        <v>#REF!</v>
      </c>
      <c r="EJ27" t="e">
        <f>AND(#REF!,"AAAAAA7L+4s=")</f>
        <v>#REF!</v>
      </c>
      <c r="EK27" t="e">
        <f>AND(#REF!,"AAAAAA7L+4w=")</f>
        <v>#REF!</v>
      </c>
      <c r="EL27" t="e">
        <f>IF(#REF!,"AAAAAA7L+40=",0)</f>
        <v>#REF!</v>
      </c>
      <c r="EM27" t="e">
        <f>AND(#REF!,"AAAAAA7L+44=")</f>
        <v>#REF!</v>
      </c>
      <c r="EN27" t="e">
        <f>AND(#REF!,"AAAAAA7L+48=")</f>
        <v>#REF!</v>
      </c>
      <c r="EO27" t="e">
        <f>AND(#REF!,"AAAAAA7L+5A=")</f>
        <v>#REF!</v>
      </c>
      <c r="EP27" t="e">
        <f>AND(#REF!,"AAAAAA7L+5E=")</f>
        <v>#REF!</v>
      </c>
      <c r="EQ27" t="e">
        <f>AND(#REF!,"AAAAAA7L+5I=")</f>
        <v>#REF!</v>
      </c>
      <c r="ER27" t="e">
        <f>AND(#REF!,"AAAAAA7L+5M=")</f>
        <v>#REF!</v>
      </c>
      <c r="ES27" t="e">
        <f>AND(#REF!,"AAAAAA7L+5Q=")</f>
        <v>#REF!</v>
      </c>
      <c r="ET27" t="e">
        <f>AND(#REF!,"AAAAAA7L+5U=")</f>
        <v>#REF!</v>
      </c>
      <c r="EU27" t="e">
        <f>AND(#REF!,"AAAAAA7L+5Y=")</f>
        <v>#REF!</v>
      </c>
      <c r="EV27" t="e">
        <f>AND(#REF!,"AAAAAA7L+5c=")</f>
        <v>#REF!</v>
      </c>
      <c r="EW27" t="e">
        <f>AND(#REF!,"AAAAAA7L+5g=")</f>
        <v>#REF!</v>
      </c>
      <c r="EX27" t="e">
        <f>IF(#REF!,"AAAAAA7L+5k=",0)</f>
        <v>#REF!</v>
      </c>
      <c r="EY27" t="e">
        <f>AND(#REF!,"AAAAAA7L+5o=")</f>
        <v>#REF!</v>
      </c>
      <c r="EZ27" t="e">
        <f>AND(#REF!,"AAAAAA7L+5s=")</f>
        <v>#REF!</v>
      </c>
      <c r="FA27" t="e">
        <f>AND(#REF!,"AAAAAA7L+5w=")</f>
        <v>#REF!</v>
      </c>
      <c r="FB27" t="e">
        <f>AND(#REF!,"AAAAAA7L+50=")</f>
        <v>#REF!</v>
      </c>
      <c r="FC27" t="e">
        <f>AND(#REF!,"AAAAAA7L+54=")</f>
        <v>#REF!</v>
      </c>
      <c r="FD27" t="e">
        <f>AND(#REF!,"AAAAAA7L+58=")</f>
        <v>#REF!</v>
      </c>
      <c r="FE27" t="e">
        <f>AND(#REF!,"AAAAAA7L+6A=")</f>
        <v>#REF!</v>
      </c>
      <c r="FF27" t="e">
        <f>AND(#REF!,"AAAAAA7L+6E=")</f>
        <v>#REF!</v>
      </c>
      <c r="FG27" t="e">
        <f>AND(#REF!,"AAAAAA7L+6I=")</f>
        <v>#REF!</v>
      </c>
      <c r="FH27" t="e">
        <f>AND(#REF!,"AAAAAA7L+6M=")</f>
        <v>#REF!</v>
      </c>
      <c r="FI27" t="e">
        <f>AND(#REF!,"AAAAAA7L+6Q=")</f>
        <v>#REF!</v>
      </c>
      <c r="FJ27" t="e">
        <f>IF(#REF!,"AAAAAA7L+6U=",0)</f>
        <v>#REF!</v>
      </c>
      <c r="FK27" t="e">
        <f>AND(#REF!,"AAAAAA7L+6Y=")</f>
        <v>#REF!</v>
      </c>
      <c r="FL27" t="e">
        <f>AND(#REF!,"AAAAAA7L+6c=")</f>
        <v>#REF!</v>
      </c>
      <c r="FM27" t="e">
        <f>AND(#REF!,"AAAAAA7L+6g=")</f>
        <v>#REF!</v>
      </c>
      <c r="FN27" t="e">
        <f>AND(#REF!,"AAAAAA7L+6k=")</f>
        <v>#REF!</v>
      </c>
      <c r="FO27" t="e">
        <f>AND(#REF!,"AAAAAA7L+6o=")</f>
        <v>#REF!</v>
      </c>
      <c r="FP27" t="e">
        <f>AND(#REF!,"AAAAAA7L+6s=")</f>
        <v>#REF!</v>
      </c>
      <c r="FQ27" t="e">
        <f>AND(#REF!,"AAAAAA7L+6w=")</f>
        <v>#REF!</v>
      </c>
      <c r="FR27" t="e">
        <f>AND(#REF!,"AAAAAA7L+60=")</f>
        <v>#REF!</v>
      </c>
      <c r="FS27" t="e">
        <f>AND(#REF!,"AAAAAA7L+64=")</f>
        <v>#REF!</v>
      </c>
      <c r="FT27" t="e">
        <f>AND(#REF!,"AAAAAA7L+68=")</f>
        <v>#REF!</v>
      </c>
      <c r="FU27" t="e">
        <f>AND(#REF!,"AAAAAA7L+7A=")</f>
        <v>#REF!</v>
      </c>
      <c r="FV27" t="e">
        <f>IF(#REF!,"AAAAAA7L+7E=",0)</f>
        <v>#REF!</v>
      </c>
      <c r="FW27" t="e">
        <f>AND(#REF!,"AAAAAA7L+7I=")</f>
        <v>#REF!</v>
      </c>
      <c r="FX27" t="e">
        <f>AND(#REF!,"AAAAAA7L+7M=")</f>
        <v>#REF!</v>
      </c>
      <c r="FY27" t="e">
        <f>AND(#REF!,"AAAAAA7L+7Q=")</f>
        <v>#REF!</v>
      </c>
      <c r="FZ27" t="e">
        <f>AND(#REF!,"AAAAAA7L+7U=")</f>
        <v>#REF!</v>
      </c>
      <c r="GA27" t="e">
        <f>AND(#REF!,"AAAAAA7L+7Y=")</f>
        <v>#REF!</v>
      </c>
      <c r="GB27" t="e">
        <f>AND(#REF!,"AAAAAA7L+7c=")</f>
        <v>#REF!</v>
      </c>
      <c r="GC27" t="e">
        <f>AND(#REF!,"AAAAAA7L+7g=")</f>
        <v>#REF!</v>
      </c>
      <c r="GD27" t="e">
        <f>AND(#REF!,"AAAAAA7L+7k=")</f>
        <v>#REF!</v>
      </c>
      <c r="GE27" t="e">
        <f>AND(#REF!,"AAAAAA7L+7o=")</f>
        <v>#REF!</v>
      </c>
      <c r="GF27" t="e">
        <f>AND(#REF!,"AAAAAA7L+7s=")</f>
        <v>#REF!</v>
      </c>
      <c r="GG27" t="e">
        <f>AND(#REF!,"AAAAAA7L+7w=")</f>
        <v>#REF!</v>
      </c>
      <c r="GH27" t="e">
        <f>IF(#REF!,"AAAAAA7L+70=",0)</f>
        <v>#REF!</v>
      </c>
      <c r="GI27" t="e">
        <f>AND(#REF!,"AAAAAA7L+74=")</f>
        <v>#REF!</v>
      </c>
      <c r="GJ27" t="e">
        <f>AND(#REF!,"AAAAAA7L+78=")</f>
        <v>#REF!</v>
      </c>
      <c r="GK27" t="e">
        <f>AND(#REF!,"AAAAAA7L+8A=")</f>
        <v>#REF!</v>
      </c>
      <c r="GL27" t="e">
        <f>AND(#REF!,"AAAAAA7L+8E=")</f>
        <v>#REF!</v>
      </c>
      <c r="GM27" t="e">
        <f>AND(#REF!,"AAAAAA7L+8I=")</f>
        <v>#REF!</v>
      </c>
      <c r="GN27" t="e">
        <f>AND(#REF!,"AAAAAA7L+8M=")</f>
        <v>#REF!</v>
      </c>
      <c r="GO27" t="e">
        <f>AND(#REF!,"AAAAAA7L+8Q=")</f>
        <v>#REF!</v>
      </c>
      <c r="GP27" t="e">
        <f>AND(#REF!,"AAAAAA7L+8U=")</f>
        <v>#REF!</v>
      </c>
      <c r="GQ27" t="e">
        <f>AND(#REF!,"AAAAAA7L+8Y=")</f>
        <v>#REF!</v>
      </c>
      <c r="GR27" t="e">
        <f>AND(#REF!,"AAAAAA7L+8c=")</f>
        <v>#REF!</v>
      </c>
      <c r="GS27" t="e">
        <f>AND(#REF!,"AAAAAA7L+8g=")</f>
        <v>#REF!</v>
      </c>
      <c r="GT27" t="e">
        <f>IF(#REF!,"AAAAAA7L+8k=",0)</f>
        <v>#REF!</v>
      </c>
      <c r="GU27" t="e">
        <f>AND(#REF!,"AAAAAA7L+8o=")</f>
        <v>#REF!</v>
      </c>
      <c r="GV27" t="e">
        <f>AND(#REF!,"AAAAAA7L+8s=")</f>
        <v>#REF!</v>
      </c>
      <c r="GW27" t="e">
        <f>AND(#REF!,"AAAAAA7L+8w=")</f>
        <v>#REF!</v>
      </c>
      <c r="GX27" t="e">
        <f>AND(#REF!,"AAAAAA7L+80=")</f>
        <v>#REF!</v>
      </c>
      <c r="GY27" t="e">
        <f>AND(#REF!,"AAAAAA7L+84=")</f>
        <v>#REF!</v>
      </c>
      <c r="GZ27" t="e">
        <f>AND(#REF!,"AAAAAA7L+88=")</f>
        <v>#REF!</v>
      </c>
      <c r="HA27" t="e">
        <f>AND(#REF!,"AAAAAA7L+9A=")</f>
        <v>#REF!</v>
      </c>
      <c r="HB27" t="e">
        <f>AND(#REF!,"AAAAAA7L+9E=")</f>
        <v>#REF!</v>
      </c>
      <c r="HC27" t="e">
        <f>AND(#REF!,"AAAAAA7L+9I=")</f>
        <v>#REF!</v>
      </c>
      <c r="HD27" t="e">
        <f>AND(#REF!,"AAAAAA7L+9M=")</f>
        <v>#REF!</v>
      </c>
      <c r="HE27" t="e">
        <f>AND(#REF!,"AAAAAA7L+9Q=")</f>
        <v>#REF!</v>
      </c>
      <c r="HF27" t="e">
        <f>IF(#REF!,"AAAAAA7L+9U=",0)</f>
        <v>#REF!</v>
      </c>
      <c r="HG27" t="e">
        <f>AND(#REF!,"AAAAAA7L+9Y=")</f>
        <v>#REF!</v>
      </c>
      <c r="HH27" t="e">
        <f>AND(#REF!,"AAAAAA7L+9c=")</f>
        <v>#REF!</v>
      </c>
      <c r="HI27" t="e">
        <f>AND(#REF!,"AAAAAA7L+9g=")</f>
        <v>#REF!</v>
      </c>
      <c r="HJ27" t="e">
        <f>AND(#REF!,"AAAAAA7L+9k=")</f>
        <v>#REF!</v>
      </c>
      <c r="HK27" t="e">
        <f>AND(#REF!,"AAAAAA7L+9o=")</f>
        <v>#REF!</v>
      </c>
      <c r="HL27" t="e">
        <f>AND(#REF!,"AAAAAA7L+9s=")</f>
        <v>#REF!</v>
      </c>
      <c r="HM27" t="e">
        <f>AND(#REF!,"AAAAAA7L+9w=")</f>
        <v>#REF!</v>
      </c>
      <c r="HN27" t="e">
        <f>AND(#REF!,"AAAAAA7L+90=")</f>
        <v>#REF!</v>
      </c>
      <c r="HO27" t="e">
        <f>AND(#REF!,"AAAAAA7L+94=")</f>
        <v>#REF!</v>
      </c>
      <c r="HP27" t="e">
        <f>AND(#REF!,"AAAAAA7L+98=")</f>
        <v>#REF!</v>
      </c>
      <c r="HQ27" t="e">
        <f>AND(#REF!,"AAAAAA7L++A=")</f>
        <v>#REF!</v>
      </c>
      <c r="HR27" t="e">
        <f>IF(#REF!,"AAAAAA7L++E=",0)</f>
        <v>#REF!</v>
      </c>
      <c r="HS27" t="e">
        <f>AND(#REF!,"AAAAAA7L++I=")</f>
        <v>#REF!</v>
      </c>
      <c r="HT27" t="e">
        <f>AND(#REF!,"AAAAAA7L++M=")</f>
        <v>#REF!</v>
      </c>
      <c r="HU27" t="e">
        <f>AND(#REF!,"AAAAAA7L++Q=")</f>
        <v>#REF!</v>
      </c>
      <c r="HV27" t="e">
        <f>AND(#REF!,"AAAAAA7L++U=")</f>
        <v>#REF!</v>
      </c>
      <c r="HW27" t="e">
        <f>AND(#REF!,"AAAAAA7L++Y=")</f>
        <v>#REF!</v>
      </c>
      <c r="HX27" t="e">
        <f>AND(#REF!,"AAAAAA7L++c=")</f>
        <v>#REF!</v>
      </c>
      <c r="HY27" t="e">
        <f>AND(#REF!,"AAAAAA7L++g=")</f>
        <v>#REF!</v>
      </c>
      <c r="HZ27" t="e">
        <f>AND(#REF!,"AAAAAA7L++k=")</f>
        <v>#REF!</v>
      </c>
      <c r="IA27" t="e">
        <f>AND(#REF!,"AAAAAA7L++o=")</f>
        <v>#REF!</v>
      </c>
      <c r="IB27" t="e">
        <f>AND(#REF!,"AAAAAA7L++s=")</f>
        <v>#REF!</v>
      </c>
      <c r="IC27" t="e">
        <f>AND(#REF!,"AAAAAA7L++w=")</f>
        <v>#REF!</v>
      </c>
      <c r="ID27" t="e">
        <f>IF(#REF!,"AAAAAA7L++0=",0)</f>
        <v>#REF!</v>
      </c>
      <c r="IE27" t="e">
        <f>AND(#REF!,"AAAAAA7L++4=")</f>
        <v>#REF!</v>
      </c>
      <c r="IF27" t="e">
        <f>AND(#REF!,"AAAAAA7L++8=")</f>
        <v>#REF!</v>
      </c>
      <c r="IG27" t="e">
        <f>AND(#REF!,"AAAAAA7L+/A=")</f>
        <v>#REF!</v>
      </c>
      <c r="IH27" t="e">
        <f>AND(#REF!,"AAAAAA7L+/E=")</f>
        <v>#REF!</v>
      </c>
      <c r="II27" t="e">
        <f>AND(#REF!,"AAAAAA7L+/I=")</f>
        <v>#REF!</v>
      </c>
      <c r="IJ27" t="e">
        <f>AND(#REF!,"AAAAAA7L+/M=")</f>
        <v>#REF!</v>
      </c>
      <c r="IK27" t="e">
        <f>AND(#REF!,"AAAAAA7L+/Q=")</f>
        <v>#REF!</v>
      </c>
      <c r="IL27" t="e">
        <f>AND(#REF!,"AAAAAA7L+/U=")</f>
        <v>#REF!</v>
      </c>
      <c r="IM27" t="e">
        <f>AND(#REF!,"AAAAAA7L+/Y=")</f>
        <v>#REF!</v>
      </c>
      <c r="IN27" t="e">
        <f>AND(#REF!,"AAAAAA7L+/c=")</f>
        <v>#REF!</v>
      </c>
      <c r="IO27" t="e">
        <f>AND(#REF!,"AAAAAA7L+/g=")</f>
        <v>#REF!</v>
      </c>
      <c r="IP27" t="e">
        <f>IF(#REF!,"AAAAAA7L+/k=",0)</f>
        <v>#REF!</v>
      </c>
      <c r="IQ27" t="e">
        <f>AND(#REF!,"AAAAAA7L+/o=")</f>
        <v>#REF!</v>
      </c>
      <c r="IR27" t="e">
        <f>AND(#REF!,"AAAAAA7L+/s=")</f>
        <v>#REF!</v>
      </c>
      <c r="IS27" t="e">
        <f>AND(#REF!,"AAAAAA7L+/w=")</f>
        <v>#REF!</v>
      </c>
      <c r="IT27" t="e">
        <f>AND(#REF!,"AAAAAA7L+/0=")</f>
        <v>#REF!</v>
      </c>
      <c r="IU27" t="e">
        <f>AND(#REF!,"AAAAAA7L+/4=")</f>
        <v>#REF!</v>
      </c>
      <c r="IV27" t="e">
        <f>AND(#REF!,"AAAAAA7L+/8=")</f>
        <v>#REF!</v>
      </c>
    </row>
    <row r="28" spans="1:256">
      <c r="A28" t="e">
        <f>AND(#REF!,"AAAAAE85yQA=")</f>
        <v>#REF!</v>
      </c>
      <c r="B28" t="e">
        <f>AND(#REF!,"AAAAAE85yQE=")</f>
        <v>#REF!</v>
      </c>
      <c r="C28" t="e">
        <f>AND(#REF!,"AAAAAE85yQI=")</f>
        <v>#REF!</v>
      </c>
      <c r="D28" t="e">
        <f>AND(#REF!,"AAAAAE85yQM=")</f>
        <v>#REF!</v>
      </c>
      <c r="E28" t="e">
        <f>AND(#REF!,"AAAAAE85yQQ=")</f>
        <v>#REF!</v>
      </c>
      <c r="F28" t="e">
        <f>IF(#REF!,"AAAAAE85yQU=",0)</f>
        <v>#REF!</v>
      </c>
      <c r="G28" t="e">
        <f>AND(#REF!,"AAAAAE85yQY=")</f>
        <v>#REF!</v>
      </c>
      <c r="H28" t="e">
        <f>AND(#REF!,"AAAAAE85yQc=")</f>
        <v>#REF!</v>
      </c>
      <c r="I28" t="e">
        <f>AND(#REF!,"AAAAAE85yQg=")</f>
        <v>#REF!</v>
      </c>
      <c r="J28" t="e">
        <f>AND(#REF!,"AAAAAE85yQk=")</f>
        <v>#REF!</v>
      </c>
      <c r="K28" t="e">
        <f>AND(#REF!,"AAAAAE85yQo=")</f>
        <v>#REF!</v>
      </c>
      <c r="L28" t="e">
        <f>AND(#REF!,"AAAAAE85yQs=")</f>
        <v>#REF!</v>
      </c>
      <c r="M28" t="e">
        <f>AND(#REF!,"AAAAAE85yQw=")</f>
        <v>#REF!</v>
      </c>
      <c r="N28" t="e">
        <f>AND(#REF!,"AAAAAE85yQ0=")</f>
        <v>#REF!</v>
      </c>
      <c r="O28" t="e">
        <f>AND(#REF!,"AAAAAE85yQ4=")</f>
        <v>#REF!</v>
      </c>
      <c r="P28" t="e">
        <f>AND(#REF!,"AAAAAE85yQ8=")</f>
        <v>#REF!</v>
      </c>
      <c r="Q28" t="e">
        <f>AND(#REF!,"AAAAAE85yRA=")</f>
        <v>#REF!</v>
      </c>
      <c r="R28" t="e">
        <f>IF(#REF!,"AAAAAE85yRE=",0)</f>
        <v>#REF!</v>
      </c>
      <c r="S28" t="e">
        <f>AND(#REF!,"AAAAAE85yRI=")</f>
        <v>#REF!</v>
      </c>
      <c r="T28" t="e">
        <f>AND(#REF!,"AAAAAE85yRM=")</f>
        <v>#REF!</v>
      </c>
      <c r="U28" t="e">
        <f>AND(#REF!,"AAAAAE85yRQ=")</f>
        <v>#REF!</v>
      </c>
      <c r="V28" t="e">
        <f>AND(#REF!,"AAAAAE85yRU=")</f>
        <v>#REF!</v>
      </c>
      <c r="W28" t="e">
        <f>AND(#REF!,"AAAAAE85yRY=")</f>
        <v>#REF!</v>
      </c>
      <c r="X28" t="e">
        <f>AND(#REF!,"AAAAAE85yRc=")</f>
        <v>#REF!</v>
      </c>
      <c r="Y28" t="e">
        <f>AND(#REF!,"AAAAAE85yRg=")</f>
        <v>#REF!</v>
      </c>
      <c r="Z28" t="e">
        <f>AND(#REF!,"AAAAAE85yRk=")</f>
        <v>#REF!</v>
      </c>
      <c r="AA28" t="e">
        <f>AND(#REF!,"AAAAAE85yRo=")</f>
        <v>#REF!</v>
      </c>
      <c r="AB28" t="e">
        <f>AND(#REF!,"AAAAAE85yRs=")</f>
        <v>#REF!</v>
      </c>
      <c r="AC28" t="e">
        <f>AND(#REF!,"AAAAAE85yRw=")</f>
        <v>#REF!</v>
      </c>
      <c r="AD28" t="e">
        <f>IF(#REF!,"AAAAAE85yR0=",0)</f>
        <v>#REF!</v>
      </c>
      <c r="AE28" t="e">
        <f>AND(#REF!,"AAAAAE85yR4=")</f>
        <v>#REF!</v>
      </c>
      <c r="AF28" t="e">
        <f>AND(#REF!,"AAAAAE85yR8=")</f>
        <v>#REF!</v>
      </c>
      <c r="AG28" t="e">
        <f>AND(#REF!,"AAAAAE85ySA=")</f>
        <v>#REF!</v>
      </c>
      <c r="AH28" t="e">
        <f>AND(#REF!,"AAAAAE85ySE=")</f>
        <v>#REF!</v>
      </c>
      <c r="AI28" t="e">
        <f>AND(#REF!,"AAAAAE85ySI=")</f>
        <v>#REF!</v>
      </c>
      <c r="AJ28" t="e">
        <f>AND(#REF!,"AAAAAE85ySM=")</f>
        <v>#REF!</v>
      </c>
      <c r="AK28" t="e">
        <f>AND(#REF!,"AAAAAE85ySQ=")</f>
        <v>#REF!</v>
      </c>
      <c r="AL28" t="e">
        <f>AND(#REF!,"AAAAAE85ySU=")</f>
        <v>#REF!</v>
      </c>
      <c r="AM28" t="e">
        <f>AND(#REF!,"AAAAAE85ySY=")</f>
        <v>#REF!</v>
      </c>
      <c r="AN28" t="e">
        <f>AND(#REF!,"AAAAAE85ySc=")</f>
        <v>#REF!</v>
      </c>
      <c r="AO28" t="e">
        <f>AND(#REF!,"AAAAAE85ySg=")</f>
        <v>#REF!</v>
      </c>
      <c r="AP28" t="e">
        <f>IF(#REF!,"AAAAAE85ySk=",0)</f>
        <v>#REF!</v>
      </c>
      <c r="AQ28" t="e">
        <f>AND(#REF!,"AAAAAE85ySo=")</f>
        <v>#REF!</v>
      </c>
      <c r="AR28" t="e">
        <f>AND(#REF!,"AAAAAE85ySs=")</f>
        <v>#REF!</v>
      </c>
      <c r="AS28" t="e">
        <f>AND(#REF!,"AAAAAE85ySw=")</f>
        <v>#REF!</v>
      </c>
      <c r="AT28" t="e">
        <f>AND(#REF!,"AAAAAE85yS0=")</f>
        <v>#REF!</v>
      </c>
      <c r="AU28" t="e">
        <f>AND(#REF!,"AAAAAE85yS4=")</f>
        <v>#REF!</v>
      </c>
      <c r="AV28" t="e">
        <f>AND(#REF!,"AAAAAE85yS8=")</f>
        <v>#REF!</v>
      </c>
      <c r="AW28" t="e">
        <f>AND(#REF!,"AAAAAE85yTA=")</f>
        <v>#REF!</v>
      </c>
      <c r="AX28" t="e">
        <f>AND(#REF!,"AAAAAE85yTE=")</f>
        <v>#REF!</v>
      </c>
      <c r="AY28" t="e">
        <f>AND(#REF!,"AAAAAE85yTI=")</f>
        <v>#REF!</v>
      </c>
      <c r="AZ28" t="e">
        <f>AND(#REF!,"AAAAAE85yTM=")</f>
        <v>#REF!</v>
      </c>
      <c r="BA28" t="e">
        <f>AND(#REF!,"AAAAAE85yTQ=")</f>
        <v>#REF!</v>
      </c>
      <c r="BB28" t="e">
        <f>IF(#REF!,"AAAAAE85yTU=",0)</f>
        <v>#REF!</v>
      </c>
      <c r="BC28" t="e">
        <f>AND(#REF!,"AAAAAE85yTY=")</f>
        <v>#REF!</v>
      </c>
      <c r="BD28" t="e">
        <f>AND(#REF!,"AAAAAE85yTc=")</f>
        <v>#REF!</v>
      </c>
      <c r="BE28" t="e">
        <f>AND(#REF!,"AAAAAE85yTg=")</f>
        <v>#REF!</v>
      </c>
      <c r="BF28" t="e">
        <f>AND(#REF!,"AAAAAE85yTk=")</f>
        <v>#REF!</v>
      </c>
      <c r="BG28" t="e">
        <f>AND(#REF!,"AAAAAE85yTo=")</f>
        <v>#REF!</v>
      </c>
      <c r="BH28" t="e">
        <f>AND(#REF!,"AAAAAE85yTs=")</f>
        <v>#REF!</v>
      </c>
      <c r="BI28" t="e">
        <f>AND(#REF!,"AAAAAE85yTw=")</f>
        <v>#REF!</v>
      </c>
      <c r="BJ28" t="e">
        <f>AND(#REF!,"AAAAAE85yT0=")</f>
        <v>#REF!</v>
      </c>
      <c r="BK28" t="e">
        <f>AND(#REF!,"AAAAAE85yT4=")</f>
        <v>#REF!</v>
      </c>
      <c r="BL28" t="e">
        <f>AND(#REF!,"AAAAAE85yT8=")</f>
        <v>#REF!</v>
      </c>
      <c r="BM28" t="e">
        <f>AND(#REF!,"AAAAAE85yUA=")</f>
        <v>#REF!</v>
      </c>
      <c r="BN28" t="e">
        <f>IF(#REF!,"AAAAAE85yUE=",0)</f>
        <v>#REF!</v>
      </c>
      <c r="BO28" t="e">
        <f>AND(#REF!,"AAAAAE85yUI=")</f>
        <v>#REF!</v>
      </c>
      <c r="BP28" t="e">
        <f>AND(#REF!,"AAAAAE85yUM=")</f>
        <v>#REF!</v>
      </c>
      <c r="BQ28" t="e">
        <f>AND(#REF!,"AAAAAE85yUQ=")</f>
        <v>#REF!</v>
      </c>
      <c r="BR28" t="e">
        <f>AND(#REF!,"AAAAAE85yUU=")</f>
        <v>#REF!</v>
      </c>
      <c r="BS28" t="e">
        <f>AND(#REF!,"AAAAAE85yUY=")</f>
        <v>#REF!</v>
      </c>
      <c r="BT28" t="e">
        <f>AND(#REF!,"AAAAAE85yUc=")</f>
        <v>#REF!</v>
      </c>
      <c r="BU28" t="e">
        <f>AND(#REF!,"AAAAAE85yUg=")</f>
        <v>#REF!</v>
      </c>
      <c r="BV28" t="e">
        <f>AND(#REF!,"AAAAAE85yUk=")</f>
        <v>#REF!</v>
      </c>
      <c r="BW28" t="e">
        <f>AND(#REF!,"AAAAAE85yUo=")</f>
        <v>#REF!</v>
      </c>
      <c r="BX28" t="e">
        <f>AND(#REF!,"AAAAAE85yUs=")</f>
        <v>#REF!</v>
      </c>
      <c r="BY28" t="e">
        <f>AND(#REF!,"AAAAAE85yUw=")</f>
        <v>#REF!</v>
      </c>
      <c r="BZ28" t="e">
        <f>IF(#REF!,"AAAAAE85yU0=",0)</f>
        <v>#REF!</v>
      </c>
      <c r="CA28" t="e">
        <f>AND(#REF!,"AAAAAE85yU4=")</f>
        <v>#REF!</v>
      </c>
      <c r="CB28" t="e">
        <f>AND(#REF!,"AAAAAE85yU8=")</f>
        <v>#REF!</v>
      </c>
      <c r="CC28" t="e">
        <f>AND(#REF!,"AAAAAE85yVA=")</f>
        <v>#REF!</v>
      </c>
      <c r="CD28" t="e">
        <f>AND(#REF!,"AAAAAE85yVE=")</f>
        <v>#REF!</v>
      </c>
      <c r="CE28" t="e">
        <f>AND(#REF!,"AAAAAE85yVI=")</f>
        <v>#REF!</v>
      </c>
      <c r="CF28" t="e">
        <f>AND(#REF!,"AAAAAE85yVM=")</f>
        <v>#REF!</v>
      </c>
      <c r="CG28" t="e">
        <f>AND(#REF!,"AAAAAE85yVQ=")</f>
        <v>#REF!</v>
      </c>
      <c r="CH28" t="e">
        <f>AND(#REF!,"AAAAAE85yVU=")</f>
        <v>#REF!</v>
      </c>
      <c r="CI28" t="e">
        <f>AND(#REF!,"AAAAAE85yVY=")</f>
        <v>#REF!</v>
      </c>
      <c r="CJ28" t="e">
        <f>AND(#REF!,"AAAAAE85yVc=")</f>
        <v>#REF!</v>
      </c>
      <c r="CK28" t="e">
        <f>AND(#REF!,"AAAAAE85yVg=")</f>
        <v>#REF!</v>
      </c>
      <c r="CL28" t="e">
        <f>IF(#REF!,"AAAAAE85yVk=",0)</f>
        <v>#REF!</v>
      </c>
      <c r="CM28" t="e">
        <f>AND(#REF!,"AAAAAE85yVo=")</f>
        <v>#REF!</v>
      </c>
      <c r="CN28" t="e">
        <f>AND(#REF!,"AAAAAE85yVs=")</f>
        <v>#REF!</v>
      </c>
      <c r="CO28" t="e">
        <f>AND(#REF!,"AAAAAE85yVw=")</f>
        <v>#REF!</v>
      </c>
      <c r="CP28" t="e">
        <f>AND(#REF!,"AAAAAE85yV0=")</f>
        <v>#REF!</v>
      </c>
      <c r="CQ28" t="e">
        <f>AND(#REF!,"AAAAAE85yV4=")</f>
        <v>#REF!</v>
      </c>
      <c r="CR28" t="e">
        <f>AND(#REF!,"AAAAAE85yV8=")</f>
        <v>#REF!</v>
      </c>
      <c r="CS28" t="e">
        <f>AND(#REF!,"AAAAAE85yWA=")</f>
        <v>#REF!</v>
      </c>
      <c r="CT28" t="e">
        <f>AND(#REF!,"AAAAAE85yWE=")</f>
        <v>#REF!</v>
      </c>
      <c r="CU28" t="e">
        <f>AND(#REF!,"AAAAAE85yWI=")</f>
        <v>#REF!</v>
      </c>
      <c r="CV28" t="e">
        <f>AND(#REF!,"AAAAAE85yWM=")</f>
        <v>#REF!</v>
      </c>
      <c r="CW28" t="e">
        <f>AND(#REF!,"AAAAAE85yWQ=")</f>
        <v>#REF!</v>
      </c>
      <c r="CX28" t="e">
        <f>IF(#REF!,"AAAAAE85yWU=",0)</f>
        <v>#REF!</v>
      </c>
      <c r="CY28" t="e">
        <f>AND(#REF!,"AAAAAE85yWY=")</f>
        <v>#REF!</v>
      </c>
      <c r="CZ28" t="e">
        <f>AND(#REF!,"AAAAAE85yWc=")</f>
        <v>#REF!</v>
      </c>
      <c r="DA28" t="e">
        <f>AND(#REF!,"AAAAAE85yWg=")</f>
        <v>#REF!</v>
      </c>
      <c r="DB28" t="e">
        <f>AND(#REF!,"AAAAAE85yWk=")</f>
        <v>#REF!</v>
      </c>
      <c r="DC28" t="e">
        <f>AND(#REF!,"AAAAAE85yWo=")</f>
        <v>#REF!</v>
      </c>
      <c r="DD28" t="e">
        <f>AND(#REF!,"AAAAAE85yWs=")</f>
        <v>#REF!</v>
      </c>
      <c r="DE28" t="e">
        <f>AND(#REF!,"AAAAAE85yWw=")</f>
        <v>#REF!</v>
      </c>
      <c r="DF28" t="e">
        <f>AND(#REF!,"AAAAAE85yW0=")</f>
        <v>#REF!</v>
      </c>
      <c r="DG28" t="e">
        <f>AND(#REF!,"AAAAAE85yW4=")</f>
        <v>#REF!</v>
      </c>
      <c r="DH28" t="e">
        <f>AND(#REF!,"AAAAAE85yW8=")</f>
        <v>#REF!</v>
      </c>
      <c r="DI28" t="e">
        <f>AND(#REF!,"AAAAAE85yXA=")</f>
        <v>#REF!</v>
      </c>
      <c r="DJ28" t="e">
        <f>IF(#REF!,"AAAAAE85yXE=",0)</f>
        <v>#REF!</v>
      </c>
      <c r="DK28" t="e">
        <f>AND(#REF!,"AAAAAE85yXI=")</f>
        <v>#REF!</v>
      </c>
      <c r="DL28" t="e">
        <f>AND(#REF!,"AAAAAE85yXM=")</f>
        <v>#REF!</v>
      </c>
      <c r="DM28" t="e">
        <f>AND(#REF!,"AAAAAE85yXQ=")</f>
        <v>#REF!</v>
      </c>
      <c r="DN28" t="e">
        <f>AND(#REF!,"AAAAAE85yXU=")</f>
        <v>#REF!</v>
      </c>
      <c r="DO28" t="e">
        <f>AND(#REF!,"AAAAAE85yXY=")</f>
        <v>#REF!</v>
      </c>
      <c r="DP28" t="e">
        <f>AND(#REF!,"AAAAAE85yXc=")</f>
        <v>#REF!</v>
      </c>
      <c r="DQ28" t="e">
        <f>AND(#REF!,"AAAAAE85yXg=")</f>
        <v>#REF!</v>
      </c>
      <c r="DR28" t="e">
        <f>AND(#REF!,"AAAAAE85yXk=")</f>
        <v>#REF!</v>
      </c>
      <c r="DS28" t="e">
        <f>AND(#REF!,"AAAAAE85yXo=")</f>
        <v>#REF!</v>
      </c>
      <c r="DT28" t="e">
        <f>AND(#REF!,"AAAAAE85yXs=")</f>
        <v>#REF!</v>
      </c>
      <c r="DU28" t="e">
        <f>AND(#REF!,"AAAAAE85yXw=")</f>
        <v>#REF!</v>
      </c>
      <c r="DV28" t="e">
        <f>IF(#REF!,"AAAAAE85yX0=",0)</f>
        <v>#REF!</v>
      </c>
      <c r="DW28" t="e">
        <f>AND(#REF!,"AAAAAE85yX4=")</f>
        <v>#REF!</v>
      </c>
      <c r="DX28" t="e">
        <f>AND(#REF!,"AAAAAE85yX8=")</f>
        <v>#REF!</v>
      </c>
      <c r="DY28" t="e">
        <f>AND(#REF!,"AAAAAE85yYA=")</f>
        <v>#REF!</v>
      </c>
      <c r="DZ28" t="e">
        <f>AND(#REF!,"AAAAAE85yYE=")</f>
        <v>#REF!</v>
      </c>
      <c r="EA28" t="e">
        <f>AND(#REF!,"AAAAAE85yYI=")</f>
        <v>#REF!</v>
      </c>
      <c r="EB28" t="e">
        <f>AND(#REF!,"AAAAAE85yYM=")</f>
        <v>#REF!</v>
      </c>
      <c r="EC28" t="e">
        <f>AND(#REF!,"AAAAAE85yYQ=")</f>
        <v>#REF!</v>
      </c>
      <c r="ED28" t="e">
        <f>AND(#REF!,"AAAAAE85yYU=")</f>
        <v>#REF!</v>
      </c>
      <c r="EE28" t="e">
        <f>AND(#REF!,"AAAAAE85yYY=")</f>
        <v>#REF!</v>
      </c>
      <c r="EF28" t="e">
        <f>AND(#REF!,"AAAAAE85yYc=")</f>
        <v>#REF!</v>
      </c>
      <c r="EG28" t="e">
        <f>AND(#REF!,"AAAAAE85yYg=")</f>
        <v>#REF!</v>
      </c>
      <c r="EH28" t="e">
        <f>IF(#REF!,"AAAAAE85yYk=",0)</f>
        <v>#REF!</v>
      </c>
      <c r="EI28" t="e">
        <f>AND(#REF!,"AAAAAE85yYo=")</f>
        <v>#REF!</v>
      </c>
      <c r="EJ28" t="e">
        <f>AND(#REF!,"AAAAAE85yYs=")</f>
        <v>#REF!</v>
      </c>
      <c r="EK28" t="e">
        <f>AND(#REF!,"AAAAAE85yYw=")</f>
        <v>#REF!</v>
      </c>
      <c r="EL28" t="e">
        <f>AND(#REF!,"AAAAAE85yY0=")</f>
        <v>#REF!</v>
      </c>
      <c r="EM28" t="e">
        <f>AND(#REF!,"AAAAAE85yY4=")</f>
        <v>#REF!</v>
      </c>
      <c r="EN28" t="e">
        <f>AND(#REF!,"AAAAAE85yY8=")</f>
        <v>#REF!</v>
      </c>
      <c r="EO28" t="e">
        <f>AND(#REF!,"AAAAAE85yZA=")</f>
        <v>#REF!</v>
      </c>
      <c r="EP28" t="e">
        <f>AND(#REF!,"AAAAAE85yZE=")</f>
        <v>#REF!</v>
      </c>
      <c r="EQ28" t="e">
        <f>AND(#REF!,"AAAAAE85yZI=")</f>
        <v>#REF!</v>
      </c>
      <c r="ER28" t="e">
        <f>AND(#REF!,"AAAAAE85yZM=")</f>
        <v>#REF!</v>
      </c>
      <c r="ES28" t="e">
        <f>AND(#REF!,"AAAAAE85yZQ=")</f>
        <v>#REF!</v>
      </c>
      <c r="ET28" t="e">
        <f>IF(#REF!,"AAAAAE85yZU=",0)</f>
        <v>#REF!</v>
      </c>
      <c r="EU28" t="e">
        <f>AND(#REF!,"AAAAAE85yZY=")</f>
        <v>#REF!</v>
      </c>
      <c r="EV28" t="e">
        <f>AND(#REF!,"AAAAAE85yZc=")</f>
        <v>#REF!</v>
      </c>
      <c r="EW28" t="e">
        <f>AND(#REF!,"AAAAAE85yZg=")</f>
        <v>#REF!</v>
      </c>
      <c r="EX28" t="e">
        <f>AND(#REF!,"AAAAAE85yZk=")</f>
        <v>#REF!</v>
      </c>
      <c r="EY28" t="e">
        <f>AND(#REF!,"AAAAAE85yZo=")</f>
        <v>#REF!</v>
      </c>
      <c r="EZ28" t="e">
        <f>AND(#REF!,"AAAAAE85yZs=")</f>
        <v>#REF!</v>
      </c>
      <c r="FA28" t="e">
        <f>AND(#REF!,"AAAAAE85yZw=")</f>
        <v>#REF!</v>
      </c>
      <c r="FB28" t="e">
        <f>AND(#REF!,"AAAAAE85yZ0=")</f>
        <v>#REF!</v>
      </c>
      <c r="FC28" t="e">
        <f>AND(#REF!,"AAAAAE85yZ4=")</f>
        <v>#REF!</v>
      </c>
      <c r="FD28" t="e">
        <f>AND(#REF!,"AAAAAE85yZ8=")</f>
        <v>#REF!</v>
      </c>
      <c r="FE28" t="e">
        <f>AND(#REF!,"AAAAAE85yaA=")</f>
        <v>#REF!</v>
      </c>
      <c r="FF28" t="e">
        <f>IF(#REF!,"AAAAAE85yaE=",0)</f>
        <v>#REF!</v>
      </c>
      <c r="FG28" t="e">
        <f>AND(#REF!,"AAAAAE85yaI=")</f>
        <v>#REF!</v>
      </c>
      <c r="FH28" t="e">
        <f>AND(#REF!,"AAAAAE85yaM=")</f>
        <v>#REF!</v>
      </c>
      <c r="FI28" t="e">
        <f>AND(#REF!,"AAAAAE85yaQ=")</f>
        <v>#REF!</v>
      </c>
      <c r="FJ28" t="e">
        <f>AND(#REF!,"AAAAAE85yaU=")</f>
        <v>#REF!</v>
      </c>
      <c r="FK28" t="e">
        <f>AND(#REF!,"AAAAAE85yaY=")</f>
        <v>#REF!</v>
      </c>
      <c r="FL28" t="e">
        <f>AND(#REF!,"AAAAAE85yac=")</f>
        <v>#REF!</v>
      </c>
      <c r="FM28" t="e">
        <f>AND(#REF!,"AAAAAE85yag=")</f>
        <v>#REF!</v>
      </c>
      <c r="FN28" t="e">
        <f>AND(#REF!,"AAAAAE85yak=")</f>
        <v>#REF!</v>
      </c>
      <c r="FO28" t="e">
        <f>AND(#REF!,"AAAAAE85yao=")</f>
        <v>#REF!</v>
      </c>
      <c r="FP28" t="e">
        <f>AND(#REF!,"AAAAAE85yas=")</f>
        <v>#REF!</v>
      </c>
      <c r="FQ28" t="e">
        <f>AND(#REF!,"AAAAAE85yaw=")</f>
        <v>#REF!</v>
      </c>
      <c r="FR28" t="e">
        <f>IF(#REF!,"AAAAAE85ya0=",0)</f>
        <v>#REF!</v>
      </c>
      <c r="FS28" t="e">
        <f>AND(#REF!,"AAAAAE85ya4=")</f>
        <v>#REF!</v>
      </c>
      <c r="FT28" t="e">
        <f>AND(#REF!,"AAAAAE85ya8=")</f>
        <v>#REF!</v>
      </c>
      <c r="FU28" t="e">
        <f>AND(#REF!,"AAAAAE85ybA=")</f>
        <v>#REF!</v>
      </c>
      <c r="FV28" t="e">
        <f>AND(#REF!,"AAAAAE85ybE=")</f>
        <v>#REF!</v>
      </c>
      <c r="FW28" t="e">
        <f>AND(#REF!,"AAAAAE85ybI=")</f>
        <v>#REF!</v>
      </c>
      <c r="FX28" t="e">
        <f>AND(#REF!,"AAAAAE85ybM=")</f>
        <v>#REF!</v>
      </c>
      <c r="FY28" t="e">
        <f>AND(#REF!,"AAAAAE85ybQ=")</f>
        <v>#REF!</v>
      </c>
      <c r="FZ28" t="e">
        <f>AND(#REF!,"AAAAAE85ybU=")</f>
        <v>#REF!</v>
      </c>
      <c r="GA28" t="e">
        <f>AND(#REF!,"AAAAAE85ybY=")</f>
        <v>#REF!</v>
      </c>
      <c r="GB28" t="e">
        <f>AND(#REF!,"AAAAAE85ybc=")</f>
        <v>#REF!</v>
      </c>
      <c r="GC28" t="e">
        <f>AND(#REF!,"AAAAAE85ybg=")</f>
        <v>#REF!</v>
      </c>
      <c r="GD28" t="e">
        <f>IF(#REF!,"AAAAAE85ybk=",0)</f>
        <v>#REF!</v>
      </c>
      <c r="GE28" t="e">
        <f>AND(#REF!,"AAAAAE85ybo=")</f>
        <v>#REF!</v>
      </c>
      <c r="GF28" t="e">
        <f>AND(#REF!,"AAAAAE85ybs=")</f>
        <v>#REF!</v>
      </c>
      <c r="GG28" t="e">
        <f>AND(#REF!,"AAAAAE85ybw=")</f>
        <v>#REF!</v>
      </c>
      <c r="GH28" t="e">
        <f>AND(#REF!,"AAAAAE85yb0=")</f>
        <v>#REF!</v>
      </c>
      <c r="GI28" t="e">
        <f>AND(#REF!,"AAAAAE85yb4=")</f>
        <v>#REF!</v>
      </c>
      <c r="GJ28" t="e">
        <f>AND(#REF!,"AAAAAE85yb8=")</f>
        <v>#REF!</v>
      </c>
      <c r="GK28" t="e">
        <f>AND(#REF!,"AAAAAE85ycA=")</f>
        <v>#REF!</v>
      </c>
      <c r="GL28" t="e">
        <f>AND(#REF!,"AAAAAE85ycE=")</f>
        <v>#REF!</v>
      </c>
      <c r="GM28" t="e">
        <f>AND(#REF!,"AAAAAE85ycI=")</f>
        <v>#REF!</v>
      </c>
      <c r="GN28" t="e">
        <f>AND(#REF!,"AAAAAE85ycM=")</f>
        <v>#REF!</v>
      </c>
      <c r="GO28" t="e">
        <f>AND(#REF!,"AAAAAE85ycQ=")</f>
        <v>#REF!</v>
      </c>
      <c r="GP28" t="e">
        <f>IF(#REF!,"AAAAAE85ycU=",0)</f>
        <v>#REF!</v>
      </c>
      <c r="GQ28" t="e">
        <f>AND(#REF!,"AAAAAE85ycY=")</f>
        <v>#REF!</v>
      </c>
      <c r="GR28" t="e">
        <f>AND(#REF!,"AAAAAE85ycc=")</f>
        <v>#REF!</v>
      </c>
      <c r="GS28" t="e">
        <f>AND(#REF!,"AAAAAE85ycg=")</f>
        <v>#REF!</v>
      </c>
      <c r="GT28" t="e">
        <f>AND(#REF!,"AAAAAE85yck=")</f>
        <v>#REF!</v>
      </c>
      <c r="GU28" t="e">
        <f>AND(#REF!,"AAAAAE85yco=")</f>
        <v>#REF!</v>
      </c>
      <c r="GV28" t="e">
        <f>AND(#REF!,"AAAAAE85ycs=")</f>
        <v>#REF!</v>
      </c>
      <c r="GW28" t="e">
        <f>AND(#REF!,"AAAAAE85ycw=")</f>
        <v>#REF!</v>
      </c>
      <c r="GX28" t="e">
        <f>AND(#REF!,"AAAAAE85yc0=")</f>
        <v>#REF!</v>
      </c>
      <c r="GY28" t="e">
        <f>AND(#REF!,"AAAAAE85yc4=")</f>
        <v>#REF!</v>
      </c>
      <c r="GZ28" t="e">
        <f>AND(#REF!,"AAAAAE85yc8=")</f>
        <v>#REF!</v>
      </c>
      <c r="HA28" t="e">
        <f>AND(#REF!,"AAAAAE85ydA=")</f>
        <v>#REF!</v>
      </c>
      <c r="HB28" t="e">
        <f>IF(#REF!,"AAAAAE85ydE=",0)</f>
        <v>#REF!</v>
      </c>
      <c r="HC28" t="e">
        <f>AND(#REF!,"AAAAAE85ydI=")</f>
        <v>#REF!</v>
      </c>
      <c r="HD28" t="e">
        <f>AND(#REF!,"AAAAAE85ydM=")</f>
        <v>#REF!</v>
      </c>
      <c r="HE28" t="e">
        <f>AND(#REF!,"AAAAAE85ydQ=")</f>
        <v>#REF!</v>
      </c>
      <c r="HF28" t="e">
        <f>AND(#REF!,"AAAAAE85ydU=")</f>
        <v>#REF!</v>
      </c>
      <c r="HG28" t="e">
        <f>AND(#REF!,"AAAAAE85ydY=")</f>
        <v>#REF!</v>
      </c>
      <c r="HH28" t="e">
        <f>AND(#REF!,"AAAAAE85ydc=")</f>
        <v>#REF!</v>
      </c>
      <c r="HI28" t="e">
        <f>AND(#REF!,"AAAAAE85ydg=")</f>
        <v>#REF!</v>
      </c>
      <c r="HJ28" t="e">
        <f>AND(#REF!,"AAAAAE85ydk=")</f>
        <v>#REF!</v>
      </c>
      <c r="HK28" t="e">
        <f>AND(#REF!,"AAAAAE85ydo=")</f>
        <v>#REF!</v>
      </c>
      <c r="HL28" t="e">
        <f>AND(#REF!,"AAAAAE85yds=")</f>
        <v>#REF!</v>
      </c>
      <c r="HM28" t="e">
        <f>AND(#REF!,"AAAAAE85ydw=")</f>
        <v>#REF!</v>
      </c>
      <c r="HN28" t="e">
        <f>IF(#REF!,"AAAAAE85yd0=",0)</f>
        <v>#REF!</v>
      </c>
      <c r="HO28" t="e">
        <f>AND(#REF!,"AAAAAE85yd4=")</f>
        <v>#REF!</v>
      </c>
      <c r="HP28" t="e">
        <f>AND(#REF!,"AAAAAE85yd8=")</f>
        <v>#REF!</v>
      </c>
      <c r="HQ28" t="e">
        <f>AND(#REF!,"AAAAAE85yeA=")</f>
        <v>#REF!</v>
      </c>
      <c r="HR28" t="e">
        <f>AND(#REF!,"AAAAAE85yeE=")</f>
        <v>#REF!</v>
      </c>
      <c r="HS28" t="e">
        <f>AND(#REF!,"AAAAAE85yeI=")</f>
        <v>#REF!</v>
      </c>
      <c r="HT28" t="e">
        <f>AND(#REF!,"AAAAAE85yeM=")</f>
        <v>#REF!</v>
      </c>
      <c r="HU28" t="e">
        <f>AND(#REF!,"AAAAAE85yeQ=")</f>
        <v>#REF!</v>
      </c>
      <c r="HV28" t="e">
        <f>AND(#REF!,"AAAAAE85yeU=")</f>
        <v>#REF!</v>
      </c>
      <c r="HW28" t="e">
        <f>AND(#REF!,"AAAAAE85yeY=")</f>
        <v>#REF!</v>
      </c>
      <c r="HX28" t="e">
        <f>AND(#REF!,"AAAAAE85yec=")</f>
        <v>#REF!</v>
      </c>
      <c r="HY28" t="e">
        <f>AND(#REF!,"AAAAAE85yeg=")</f>
        <v>#REF!</v>
      </c>
      <c r="HZ28" t="e">
        <f>IF(#REF!,"AAAAAE85yek=",0)</f>
        <v>#REF!</v>
      </c>
      <c r="IA28" t="e">
        <f>AND(#REF!,"AAAAAE85yeo=")</f>
        <v>#REF!</v>
      </c>
      <c r="IB28" t="e">
        <f>AND(#REF!,"AAAAAE85yes=")</f>
        <v>#REF!</v>
      </c>
      <c r="IC28" t="e">
        <f>AND(#REF!,"AAAAAE85yew=")</f>
        <v>#REF!</v>
      </c>
      <c r="ID28" t="e">
        <f>AND(#REF!,"AAAAAE85ye0=")</f>
        <v>#REF!</v>
      </c>
      <c r="IE28" t="e">
        <f>AND(#REF!,"AAAAAE85ye4=")</f>
        <v>#REF!</v>
      </c>
      <c r="IF28" t="e">
        <f>AND(#REF!,"AAAAAE85ye8=")</f>
        <v>#REF!</v>
      </c>
      <c r="IG28" t="e">
        <f>AND(#REF!,"AAAAAE85yfA=")</f>
        <v>#REF!</v>
      </c>
      <c r="IH28" t="e">
        <f>AND(#REF!,"AAAAAE85yfE=")</f>
        <v>#REF!</v>
      </c>
      <c r="II28" t="e">
        <f>AND(#REF!,"AAAAAE85yfI=")</f>
        <v>#REF!</v>
      </c>
      <c r="IJ28" t="e">
        <f>AND(#REF!,"AAAAAE85yfM=")</f>
        <v>#REF!</v>
      </c>
      <c r="IK28" t="e">
        <f>AND(#REF!,"AAAAAE85yfQ=")</f>
        <v>#REF!</v>
      </c>
      <c r="IL28" t="e">
        <f>IF(#REF!,"AAAAAE85yfU=",0)</f>
        <v>#REF!</v>
      </c>
      <c r="IM28" t="e">
        <f>AND(#REF!,"AAAAAE85yfY=")</f>
        <v>#REF!</v>
      </c>
      <c r="IN28" t="e">
        <f>AND(#REF!,"AAAAAE85yfc=")</f>
        <v>#REF!</v>
      </c>
      <c r="IO28" t="e">
        <f>AND(#REF!,"AAAAAE85yfg=")</f>
        <v>#REF!</v>
      </c>
      <c r="IP28" t="e">
        <f>AND(#REF!,"AAAAAE85yfk=")</f>
        <v>#REF!</v>
      </c>
      <c r="IQ28" t="e">
        <f>AND(#REF!,"AAAAAE85yfo=")</f>
        <v>#REF!</v>
      </c>
      <c r="IR28" t="e">
        <f>AND(#REF!,"AAAAAE85yfs=")</f>
        <v>#REF!</v>
      </c>
      <c r="IS28" t="e">
        <f>AND(#REF!,"AAAAAE85yfw=")</f>
        <v>#REF!</v>
      </c>
      <c r="IT28" t="e">
        <f>AND(#REF!,"AAAAAE85yf0=")</f>
        <v>#REF!</v>
      </c>
      <c r="IU28" t="e">
        <f>AND(#REF!,"AAAAAE85yf4=")</f>
        <v>#REF!</v>
      </c>
      <c r="IV28" t="e">
        <f>AND(#REF!,"AAAAAE85yf8=")</f>
        <v>#REF!</v>
      </c>
    </row>
    <row r="29" spans="1:256">
      <c r="A29" t="e">
        <f>AND(#REF!,"AAAAAG3vZwA=")</f>
        <v>#REF!</v>
      </c>
      <c r="B29" t="e">
        <f>IF(#REF!,"AAAAAG3vZwE=",0)</f>
        <v>#REF!</v>
      </c>
      <c r="C29" t="e">
        <f>AND(#REF!,"AAAAAG3vZwI=")</f>
        <v>#REF!</v>
      </c>
      <c r="D29" t="e">
        <f>AND(#REF!,"AAAAAG3vZwM=")</f>
        <v>#REF!</v>
      </c>
      <c r="E29" t="e">
        <f>AND(#REF!,"AAAAAG3vZwQ=")</f>
        <v>#REF!</v>
      </c>
      <c r="F29" t="e">
        <f>AND(#REF!,"AAAAAG3vZwU=")</f>
        <v>#REF!</v>
      </c>
      <c r="G29" t="e">
        <f>AND(#REF!,"AAAAAG3vZwY=")</f>
        <v>#REF!</v>
      </c>
      <c r="H29" t="e">
        <f>AND(#REF!,"AAAAAG3vZwc=")</f>
        <v>#REF!</v>
      </c>
      <c r="I29" t="e">
        <f>AND(#REF!,"AAAAAG3vZwg=")</f>
        <v>#REF!</v>
      </c>
      <c r="J29" t="e">
        <f>AND(#REF!,"AAAAAG3vZwk=")</f>
        <v>#REF!</v>
      </c>
      <c r="K29" t="e">
        <f>AND(#REF!,"AAAAAG3vZwo=")</f>
        <v>#REF!</v>
      </c>
      <c r="L29" t="e">
        <f>AND(#REF!,"AAAAAG3vZws=")</f>
        <v>#REF!</v>
      </c>
      <c r="M29" t="e">
        <f>AND(#REF!,"AAAAAG3vZww=")</f>
        <v>#REF!</v>
      </c>
      <c r="N29" t="e">
        <f>IF(#REF!,"AAAAAG3vZw0=",0)</f>
        <v>#REF!</v>
      </c>
      <c r="O29" t="e">
        <f>AND(#REF!,"AAAAAG3vZw4=")</f>
        <v>#REF!</v>
      </c>
      <c r="P29" t="e">
        <f>AND(#REF!,"AAAAAG3vZw8=")</f>
        <v>#REF!</v>
      </c>
      <c r="Q29" t="e">
        <f>AND(#REF!,"AAAAAG3vZxA=")</f>
        <v>#REF!</v>
      </c>
      <c r="R29" t="e">
        <f>AND(#REF!,"AAAAAG3vZxE=")</f>
        <v>#REF!</v>
      </c>
      <c r="S29" t="e">
        <f>AND(#REF!,"AAAAAG3vZxI=")</f>
        <v>#REF!</v>
      </c>
      <c r="T29" t="e">
        <f>AND(#REF!,"AAAAAG3vZxM=")</f>
        <v>#REF!</v>
      </c>
      <c r="U29" t="e">
        <f>AND(#REF!,"AAAAAG3vZxQ=")</f>
        <v>#REF!</v>
      </c>
      <c r="V29" t="e">
        <f>AND(#REF!,"AAAAAG3vZxU=")</f>
        <v>#REF!</v>
      </c>
      <c r="W29" t="e">
        <f>AND(#REF!,"AAAAAG3vZxY=")</f>
        <v>#REF!</v>
      </c>
      <c r="X29" t="e">
        <f>AND(#REF!,"AAAAAG3vZxc=")</f>
        <v>#REF!</v>
      </c>
      <c r="Y29" t="e">
        <f>AND(#REF!,"AAAAAG3vZxg=")</f>
        <v>#REF!</v>
      </c>
      <c r="Z29" t="e">
        <f>IF(#REF!,"AAAAAG3vZxk=",0)</f>
        <v>#REF!</v>
      </c>
      <c r="AA29" t="e">
        <f>AND(#REF!,"AAAAAG3vZxo=")</f>
        <v>#REF!</v>
      </c>
      <c r="AB29" t="e">
        <f>AND(#REF!,"AAAAAG3vZxs=")</f>
        <v>#REF!</v>
      </c>
      <c r="AC29" t="e">
        <f>AND(#REF!,"AAAAAG3vZxw=")</f>
        <v>#REF!</v>
      </c>
      <c r="AD29" t="e">
        <f>AND(#REF!,"AAAAAG3vZx0=")</f>
        <v>#REF!</v>
      </c>
      <c r="AE29" t="e">
        <f>AND(#REF!,"AAAAAG3vZx4=")</f>
        <v>#REF!</v>
      </c>
      <c r="AF29" t="e">
        <f>AND(#REF!,"AAAAAG3vZx8=")</f>
        <v>#REF!</v>
      </c>
      <c r="AG29" t="e">
        <f>AND(#REF!,"AAAAAG3vZyA=")</f>
        <v>#REF!</v>
      </c>
      <c r="AH29" t="e">
        <f>AND(#REF!,"AAAAAG3vZyE=")</f>
        <v>#REF!</v>
      </c>
      <c r="AI29" t="e">
        <f>AND(#REF!,"AAAAAG3vZyI=")</f>
        <v>#REF!</v>
      </c>
      <c r="AJ29" t="e">
        <f>AND(#REF!,"AAAAAG3vZyM=")</f>
        <v>#REF!</v>
      </c>
      <c r="AK29" t="e">
        <f>AND(#REF!,"AAAAAG3vZyQ=")</f>
        <v>#REF!</v>
      </c>
      <c r="AL29" t="e">
        <f>IF(#REF!,"AAAAAG3vZyU=",0)</f>
        <v>#REF!</v>
      </c>
      <c r="AM29" t="e">
        <f>AND(#REF!,"AAAAAG3vZyY=")</f>
        <v>#REF!</v>
      </c>
      <c r="AN29" t="e">
        <f>AND(#REF!,"AAAAAG3vZyc=")</f>
        <v>#REF!</v>
      </c>
      <c r="AO29" t="e">
        <f>AND(#REF!,"AAAAAG3vZyg=")</f>
        <v>#REF!</v>
      </c>
      <c r="AP29" t="e">
        <f>AND(#REF!,"AAAAAG3vZyk=")</f>
        <v>#REF!</v>
      </c>
      <c r="AQ29" t="e">
        <f>AND(#REF!,"AAAAAG3vZyo=")</f>
        <v>#REF!</v>
      </c>
      <c r="AR29" t="e">
        <f>AND(#REF!,"AAAAAG3vZys=")</f>
        <v>#REF!</v>
      </c>
      <c r="AS29" t="e">
        <f>AND(#REF!,"AAAAAG3vZyw=")</f>
        <v>#REF!</v>
      </c>
      <c r="AT29" t="e">
        <f>AND(#REF!,"AAAAAG3vZy0=")</f>
        <v>#REF!</v>
      </c>
      <c r="AU29" t="e">
        <f>AND(#REF!,"AAAAAG3vZy4=")</f>
        <v>#REF!</v>
      </c>
      <c r="AV29" t="e">
        <f>AND(#REF!,"AAAAAG3vZy8=")</f>
        <v>#REF!</v>
      </c>
      <c r="AW29" t="e">
        <f>AND(#REF!,"AAAAAG3vZzA=")</f>
        <v>#REF!</v>
      </c>
      <c r="AX29" t="e">
        <f>IF(#REF!,"AAAAAG3vZzE=",0)</f>
        <v>#REF!</v>
      </c>
      <c r="AY29" t="e">
        <f>AND(#REF!,"AAAAAG3vZzI=")</f>
        <v>#REF!</v>
      </c>
      <c r="AZ29" t="e">
        <f>AND(#REF!,"AAAAAG3vZzM=")</f>
        <v>#REF!</v>
      </c>
      <c r="BA29" t="e">
        <f>AND(#REF!,"AAAAAG3vZzQ=")</f>
        <v>#REF!</v>
      </c>
      <c r="BB29" t="e">
        <f>AND(#REF!,"AAAAAG3vZzU=")</f>
        <v>#REF!</v>
      </c>
      <c r="BC29" t="e">
        <f>AND(#REF!,"AAAAAG3vZzY=")</f>
        <v>#REF!</v>
      </c>
      <c r="BD29" t="e">
        <f>AND(#REF!,"AAAAAG3vZzc=")</f>
        <v>#REF!</v>
      </c>
      <c r="BE29" t="e">
        <f>AND(#REF!,"AAAAAG3vZzg=")</f>
        <v>#REF!</v>
      </c>
      <c r="BF29" t="e">
        <f>AND(#REF!,"AAAAAG3vZzk=")</f>
        <v>#REF!</v>
      </c>
      <c r="BG29" t="e">
        <f>AND(#REF!,"AAAAAG3vZzo=")</f>
        <v>#REF!</v>
      </c>
      <c r="BH29" t="e">
        <f>AND(#REF!,"AAAAAG3vZzs=")</f>
        <v>#REF!</v>
      </c>
      <c r="BI29" t="e">
        <f>AND(#REF!,"AAAAAG3vZzw=")</f>
        <v>#REF!</v>
      </c>
      <c r="BJ29" t="e">
        <f>IF(#REF!,"AAAAAG3vZz0=",0)</f>
        <v>#REF!</v>
      </c>
      <c r="BK29" t="e">
        <f>AND(#REF!,"AAAAAG3vZz4=")</f>
        <v>#REF!</v>
      </c>
      <c r="BL29" t="e">
        <f>AND(#REF!,"AAAAAG3vZz8=")</f>
        <v>#REF!</v>
      </c>
      <c r="BM29" t="e">
        <f>AND(#REF!,"AAAAAG3vZ0A=")</f>
        <v>#REF!</v>
      </c>
      <c r="BN29" t="e">
        <f>AND(#REF!,"AAAAAG3vZ0E=")</f>
        <v>#REF!</v>
      </c>
      <c r="BO29" t="e">
        <f>AND(#REF!,"AAAAAG3vZ0I=")</f>
        <v>#REF!</v>
      </c>
      <c r="BP29" t="e">
        <f>AND(#REF!,"AAAAAG3vZ0M=")</f>
        <v>#REF!</v>
      </c>
      <c r="BQ29" t="e">
        <f>AND(#REF!,"AAAAAG3vZ0Q=")</f>
        <v>#REF!</v>
      </c>
      <c r="BR29" t="e">
        <f>AND(#REF!,"AAAAAG3vZ0U=")</f>
        <v>#REF!</v>
      </c>
      <c r="BS29" t="e">
        <f>AND(#REF!,"AAAAAG3vZ0Y=")</f>
        <v>#REF!</v>
      </c>
      <c r="BT29" t="e">
        <f>AND(#REF!,"AAAAAG3vZ0c=")</f>
        <v>#REF!</v>
      </c>
      <c r="BU29" t="e">
        <f>AND(#REF!,"AAAAAG3vZ0g=")</f>
        <v>#REF!</v>
      </c>
      <c r="BV29" t="e">
        <f>IF(#REF!,"AAAAAG3vZ0k=",0)</f>
        <v>#REF!</v>
      </c>
      <c r="BW29" t="e">
        <f>AND(#REF!,"AAAAAG3vZ0o=")</f>
        <v>#REF!</v>
      </c>
      <c r="BX29" t="e">
        <f>AND(#REF!,"AAAAAG3vZ0s=")</f>
        <v>#REF!</v>
      </c>
      <c r="BY29" t="e">
        <f>AND(#REF!,"AAAAAG3vZ0w=")</f>
        <v>#REF!</v>
      </c>
      <c r="BZ29" t="e">
        <f>AND(#REF!,"AAAAAG3vZ00=")</f>
        <v>#REF!</v>
      </c>
      <c r="CA29" t="e">
        <f>AND(#REF!,"AAAAAG3vZ04=")</f>
        <v>#REF!</v>
      </c>
      <c r="CB29" t="e">
        <f>AND(#REF!,"AAAAAG3vZ08=")</f>
        <v>#REF!</v>
      </c>
      <c r="CC29" t="e">
        <f>AND(#REF!,"AAAAAG3vZ1A=")</f>
        <v>#REF!</v>
      </c>
      <c r="CD29" t="e">
        <f>AND(#REF!,"AAAAAG3vZ1E=")</f>
        <v>#REF!</v>
      </c>
      <c r="CE29" t="e">
        <f>AND(#REF!,"AAAAAG3vZ1I=")</f>
        <v>#REF!</v>
      </c>
      <c r="CF29" t="e">
        <f>AND(#REF!,"AAAAAG3vZ1M=")</f>
        <v>#REF!</v>
      </c>
      <c r="CG29" t="e">
        <f>AND(#REF!,"AAAAAG3vZ1Q=")</f>
        <v>#REF!</v>
      </c>
      <c r="CH29" t="e">
        <f>IF(#REF!,"AAAAAG3vZ1U=",0)</f>
        <v>#REF!</v>
      </c>
      <c r="CI29" t="e">
        <f>AND(#REF!,"AAAAAG3vZ1Y=")</f>
        <v>#REF!</v>
      </c>
      <c r="CJ29" t="e">
        <f>AND(#REF!,"AAAAAG3vZ1c=")</f>
        <v>#REF!</v>
      </c>
      <c r="CK29" t="e">
        <f>AND(#REF!,"AAAAAG3vZ1g=")</f>
        <v>#REF!</v>
      </c>
      <c r="CL29" t="e">
        <f>AND(#REF!,"AAAAAG3vZ1k=")</f>
        <v>#REF!</v>
      </c>
      <c r="CM29" t="e">
        <f>AND(#REF!,"AAAAAG3vZ1o=")</f>
        <v>#REF!</v>
      </c>
      <c r="CN29" t="e">
        <f>AND(#REF!,"AAAAAG3vZ1s=")</f>
        <v>#REF!</v>
      </c>
      <c r="CO29" t="e">
        <f>AND(#REF!,"AAAAAG3vZ1w=")</f>
        <v>#REF!</v>
      </c>
      <c r="CP29" t="e">
        <f>AND(#REF!,"AAAAAG3vZ10=")</f>
        <v>#REF!</v>
      </c>
      <c r="CQ29" t="e">
        <f>AND(#REF!,"AAAAAG3vZ14=")</f>
        <v>#REF!</v>
      </c>
      <c r="CR29" t="e">
        <f>AND(#REF!,"AAAAAG3vZ18=")</f>
        <v>#REF!</v>
      </c>
      <c r="CS29" t="e">
        <f>AND(#REF!,"AAAAAG3vZ2A=")</f>
        <v>#REF!</v>
      </c>
      <c r="CT29" t="e">
        <f>IF(#REF!,"AAAAAG3vZ2E=",0)</f>
        <v>#REF!</v>
      </c>
      <c r="CU29" t="e">
        <f>AND(#REF!,"AAAAAG3vZ2I=")</f>
        <v>#REF!</v>
      </c>
      <c r="CV29" t="e">
        <f>AND(#REF!,"AAAAAG3vZ2M=")</f>
        <v>#REF!</v>
      </c>
      <c r="CW29" t="e">
        <f>AND(#REF!,"AAAAAG3vZ2Q=")</f>
        <v>#REF!</v>
      </c>
      <c r="CX29" t="e">
        <f>AND(#REF!,"AAAAAG3vZ2U=")</f>
        <v>#REF!</v>
      </c>
      <c r="CY29" t="e">
        <f>AND(#REF!,"AAAAAG3vZ2Y=")</f>
        <v>#REF!</v>
      </c>
      <c r="CZ29" t="e">
        <f>AND(#REF!,"AAAAAG3vZ2c=")</f>
        <v>#REF!</v>
      </c>
      <c r="DA29" t="e">
        <f>AND(#REF!,"AAAAAG3vZ2g=")</f>
        <v>#REF!</v>
      </c>
      <c r="DB29" t="e">
        <f>AND(#REF!,"AAAAAG3vZ2k=")</f>
        <v>#REF!</v>
      </c>
      <c r="DC29" t="e">
        <f>AND(#REF!,"AAAAAG3vZ2o=")</f>
        <v>#REF!</v>
      </c>
      <c r="DD29" t="e">
        <f>AND(#REF!,"AAAAAG3vZ2s=")</f>
        <v>#REF!</v>
      </c>
      <c r="DE29" t="e">
        <f>AND(#REF!,"AAAAAG3vZ2w=")</f>
        <v>#REF!</v>
      </c>
      <c r="DF29" t="e">
        <f>IF(#REF!,"AAAAAG3vZ20=",0)</f>
        <v>#REF!</v>
      </c>
      <c r="DG29" t="e">
        <f>AND(#REF!,"AAAAAG3vZ24=")</f>
        <v>#REF!</v>
      </c>
      <c r="DH29" t="e">
        <f>AND(#REF!,"AAAAAG3vZ28=")</f>
        <v>#REF!</v>
      </c>
      <c r="DI29" t="e">
        <f>AND(#REF!,"AAAAAG3vZ3A=")</f>
        <v>#REF!</v>
      </c>
      <c r="DJ29" t="e">
        <f>AND(#REF!,"AAAAAG3vZ3E=")</f>
        <v>#REF!</v>
      </c>
      <c r="DK29" t="e">
        <f>AND(#REF!,"AAAAAG3vZ3I=")</f>
        <v>#REF!</v>
      </c>
      <c r="DL29" t="e">
        <f>AND(#REF!,"AAAAAG3vZ3M=")</f>
        <v>#REF!</v>
      </c>
      <c r="DM29" t="e">
        <f>AND(#REF!,"AAAAAG3vZ3Q=")</f>
        <v>#REF!</v>
      </c>
      <c r="DN29" t="e">
        <f>AND(#REF!,"AAAAAG3vZ3U=")</f>
        <v>#REF!</v>
      </c>
      <c r="DO29" t="e">
        <f>AND(#REF!,"AAAAAG3vZ3Y=")</f>
        <v>#REF!</v>
      </c>
      <c r="DP29" t="e">
        <f>AND(#REF!,"AAAAAG3vZ3c=")</f>
        <v>#REF!</v>
      </c>
      <c r="DQ29" t="e">
        <f>AND(#REF!,"AAAAAG3vZ3g=")</f>
        <v>#REF!</v>
      </c>
      <c r="DR29" t="e">
        <f>IF(#REF!,"AAAAAG3vZ3k=",0)</f>
        <v>#REF!</v>
      </c>
      <c r="DS29" t="e">
        <f>AND(#REF!,"AAAAAG3vZ3o=")</f>
        <v>#REF!</v>
      </c>
      <c r="DT29" t="e">
        <f>AND(#REF!,"AAAAAG3vZ3s=")</f>
        <v>#REF!</v>
      </c>
      <c r="DU29" t="e">
        <f>AND(#REF!,"AAAAAG3vZ3w=")</f>
        <v>#REF!</v>
      </c>
      <c r="DV29" t="e">
        <f>AND(#REF!,"AAAAAG3vZ30=")</f>
        <v>#REF!</v>
      </c>
      <c r="DW29" t="e">
        <f>AND(#REF!,"AAAAAG3vZ34=")</f>
        <v>#REF!</v>
      </c>
      <c r="DX29" t="e">
        <f>AND(#REF!,"AAAAAG3vZ38=")</f>
        <v>#REF!</v>
      </c>
      <c r="DY29" t="e">
        <f>AND(#REF!,"AAAAAG3vZ4A=")</f>
        <v>#REF!</v>
      </c>
      <c r="DZ29" t="e">
        <f>AND(#REF!,"AAAAAG3vZ4E=")</f>
        <v>#REF!</v>
      </c>
      <c r="EA29" t="e">
        <f>AND(#REF!,"AAAAAG3vZ4I=")</f>
        <v>#REF!</v>
      </c>
      <c r="EB29" t="e">
        <f>AND(#REF!,"AAAAAG3vZ4M=")</f>
        <v>#REF!</v>
      </c>
      <c r="EC29" t="e">
        <f>AND(#REF!,"AAAAAG3vZ4Q=")</f>
        <v>#REF!</v>
      </c>
      <c r="ED29" t="e">
        <f>IF(#REF!,"AAAAAG3vZ4U=",0)</f>
        <v>#REF!</v>
      </c>
      <c r="EE29" t="e">
        <f>AND(#REF!,"AAAAAG3vZ4Y=")</f>
        <v>#REF!</v>
      </c>
      <c r="EF29" t="e">
        <f>AND(#REF!,"AAAAAG3vZ4c=")</f>
        <v>#REF!</v>
      </c>
      <c r="EG29" t="e">
        <f>AND(#REF!,"AAAAAG3vZ4g=")</f>
        <v>#REF!</v>
      </c>
      <c r="EH29" t="e">
        <f>AND(#REF!,"AAAAAG3vZ4k=")</f>
        <v>#REF!</v>
      </c>
      <c r="EI29" t="e">
        <f>AND(#REF!,"AAAAAG3vZ4o=")</f>
        <v>#REF!</v>
      </c>
      <c r="EJ29" t="e">
        <f>AND(#REF!,"AAAAAG3vZ4s=")</f>
        <v>#REF!</v>
      </c>
      <c r="EK29" t="e">
        <f>AND(#REF!,"AAAAAG3vZ4w=")</f>
        <v>#REF!</v>
      </c>
      <c r="EL29" t="e">
        <f>AND(#REF!,"AAAAAG3vZ40=")</f>
        <v>#REF!</v>
      </c>
      <c r="EM29" t="e">
        <f>AND(#REF!,"AAAAAG3vZ44=")</f>
        <v>#REF!</v>
      </c>
      <c r="EN29" t="e">
        <f>AND(#REF!,"AAAAAG3vZ48=")</f>
        <v>#REF!</v>
      </c>
      <c r="EO29" t="e">
        <f>AND(#REF!,"AAAAAG3vZ5A=")</f>
        <v>#REF!</v>
      </c>
      <c r="EP29" t="e">
        <f>IF(#REF!,"AAAAAG3vZ5E=",0)</f>
        <v>#REF!</v>
      </c>
      <c r="EQ29" t="e">
        <f>AND(#REF!,"AAAAAG3vZ5I=")</f>
        <v>#REF!</v>
      </c>
      <c r="ER29" t="e">
        <f>AND(#REF!,"AAAAAG3vZ5M=")</f>
        <v>#REF!</v>
      </c>
      <c r="ES29" t="e">
        <f>AND(#REF!,"AAAAAG3vZ5Q=")</f>
        <v>#REF!</v>
      </c>
      <c r="ET29" t="e">
        <f>AND(#REF!,"AAAAAG3vZ5U=")</f>
        <v>#REF!</v>
      </c>
      <c r="EU29" t="e">
        <f>AND(#REF!,"AAAAAG3vZ5Y=")</f>
        <v>#REF!</v>
      </c>
      <c r="EV29" t="e">
        <f>AND(#REF!,"AAAAAG3vZ5c=")</f>
        <v>#REF!</v>
      </c>
      <c r="EW29" t="e">
        <f>AND(#REF!,"AAAAAG3vZ5g=")</f>
        <v>#REF!</v>
      </c>
      <c r="EX29" t="e">
        <f>AND(#REF!,"AAAAAG3vZ5k=")</f>
        <v>#REF!</v>
      </c>
      <c r="EY29" t="e">
        <f>AND(#REF!,"AAAAAG3vZ5o=")</f>
        <v>#REF!</v>
      </c>
      <c r="EZ29" t="e">
        <f>AND(#REF!,"AAAAAG3vZ5s=")</f>
        <v>#REF!</v>
      </c>
      <c r="FA29" t="e">
        <f>AND(#REF!,"AAAAAG3vZ5w=")</f>
        <v>#REF!</v>
      </c>
      <c r="FB29" t="e">
        <f>IF(#REF!,"AAAAAG3vZ50=",0)</f>
        <v>#REF!</v>
      </c>
      <c r="FC29" t="e">
        <f>AND(#REF!,"AAAAAG3vZ54=")</f>
        <v>#REF!</v>
      </c>
      <c r="FD29" t="e">
        <f>AND(#REF!,"AAAAAG3vZ58=")</f>
        <v>#REF!</v>
      </c>
      <c r="FE29" t="e">
        <f>AND(#REF!,"AAAAAG3vZ6A=")</f>
        <v>#REF!</v>
      </c>
      <c r="FF29" t="e">
        <f>AND(#REF!,"AAAAAG3vZ6E=")</f>
        <v>#REF!</v>
      </c>
      <c r="FG29" t="e">
        <f>AND(#REF!,"AAAAAG3vZ6I=")</f>
        <v>#REF!</v>
      </c>
      <c r="FH29" t="e">
        <f>AND(#REF!,"AAAAAG3vZ6M=")</f>
        <v>#REF!</v>
      </c>
      <c r="FI29" t="e">
        <f>AND(#REF!,"AAAAAG3vZ6Q=")</f>
        <v>#REF!</v>
      </c>
      <c r="FJ29" t="e">
        <f>AND(#REF!,"AAAAAG3vZ6U=")</f>
        <v>#REF!</v>
      </c>
      <c r="FK29" t="e">
        <f>AND(#REF!,"AAAAAG3vZ6Y=")</f>
        <v>#REF!</v>
      </c>
      <c r="FL29" t="e">
        <f>AND(#REF!,"AAAAAG3vZ6c=")</f>
        <v>#REF!</v>
      </c>
      <c r="FM29" t="e">
        <f>AND(#REF!,"AAAAAG3vZ6g=")</f>
        <v>#REF!</v>
      </c>
      <c r="FN29" t="e">
        <f>IF(#REF!,"AAAAAG3vZ6k=",0)</f>
        <v>#REF!</v>
      </c>
      <c r="FO29" t="e">
        <f>AND(#REF!,"AAAAAG3vZ6o=")</f>
        <v>#REF!</v>
      </c>
      <c r="FP29" t="e">
        <f>AND(#REF!,"AAAAAG3vZ6s=")</f>
        <v>#REF!</v>
      </c>
      <c r="FQ29" t="e">
        <f>AND(#REF!,"AAAAAG3vZ6w=")</f>
        <v>#REF!</v>
      </c>
      <c r="FR29" t="e">
        <f>AND(#REF!,"AAAAAG3vZ60=")</f>
        <v>#REF!</v>
      </c>
      <c r="FS29" t="e">
        <f>AND(#REF!,"AAAAAG3vZ64=")</f>
        <v>#REF!</v>
      </c>
      <c r="FT29" t="e">
        <f>AND(#REF!,"AAAAAG3vZ68=")</f>
        <v>#REF!</v>
      </c>
      <c r="FU29" t="e">
        <f>AND(#REF!,"AAAAAG3vZ7A=")</f>
        <v>#REF!</v>
      </c>
      <c r="FV29" t="e">
        <f>AND(#REF!,"AAAAAG3vZ7E=")</f>
        <v>#REF!</v>
      </c>
      <c r="FW29" t="e">
        <f>AND(#REF!,"AAAAAG3vZ7I=")</f>
        <v>#REF!</v>
      </c>
      <c r="FX29" t="e">
        <f>AND(#REF!,"AAAAAG3vZ7M=")</f>
        <v>#REF!</v>
      </c>
      <c r="FY29" t="e">
        <f>AND(#REF!,"AAAAAG3vZ7Q=")</f>
        <v>#REF!</v>
      </c>
      <c r="FZ29" t="e">
        <f>IF(#REF!,"AAAAAG3vZ7U=",0)</f>
        <v>#REF!</v>
      </c>
      <c r="GA29" t="e">
        <f>AND(#REF!,"AAAAAG3vZ7Y=")</f>
        <v>#REF!</v>
      </c>
      <c r="GB29" t="e">
        <f>AND(#REF!,"AAAAAG3vZ7c=")</f>
        <v>#REF!</v>
      </c>
      <c r="GC29" t="e">
        <f>AND(#REF!,"AAAAAG3vZ7g=")</f>
        <v>#REF!</v>
      </c>
      <c r="GD29" t="e">
        <f>AND(#REF!,"AAAAAG3vZ7k=")</f>
        <v>#REF!</v>
      </c>
      <c r="GE29" t="e">
        <f>AND(#REF!,"AAAAAG3vZ7o=")</f>
        <v>#REF!</v>
      </c>
      <c r="GF29" t="e">
        <f>AND(#REF!,"AAAAAG3vZ7s=")</f>
        <v>#REF!</v>
      </c>
      <c r="GG29" t="e">
        <f>AND(#REF!,"AAAAAG3vZ7w=")</f>
        <v>#REF!</v>
      </c>
      <c r="GH29" t="e">
        <f>AND(#REF!,"AAAAAG3vZ70=")</f>
        <v>#REF!</v>
      </c>
      <c r="GI29" t="e">
        <f>AND(#REF!,"AAAAAG3vZ74=")</f>
        <v>#REF!</v>
      </c>
      <c r="GJ29" t="e">
        <f>AND(#REF!,"AAAAAG3vZ78=")</f>
        <v>#REF!</v>
      </c>
      <c r="GK29" t="e">
        <f>AND(#REF!,"AAAAAG3vZ8A=")</f>
        <v>#REF!</v>
      </c>
      <c r="GL29" t="e">
        <f>IF(#REF!,"AAAAAG3vZ8E=",0)</f>
        <v>#REF!</v>
      </c>
      <c r="GM29" t="e">
        <f>AND(#REF!,"AAAAAG3vZ8I=")</f>
        <v>#REF!</v>
      </c>
      <c r="GN29" t="e">
        <f>AND(#REF!,"AAAAAG3vZ8M=")</f>
        <v>#REF!</v>
      </c>
      <c r="GO29" t="e">
        <f>AND(#REF!,"AAAAAG3vZ8Q=")</f>
        <v>#REF!</v>
      </c>
      <c r="GP29" t="e">
        <f>AND(#REF!,"AAAAAG3vZ8U=")</f>
        <v>#REF!</v>
      </c>
      <c r="GQ29" t="e">
        <f>AND(#REF!,"AAAAAG3vZ8Y=")</f>
        <v>#REF!</v>
      </c>
      <c r="GR29" t="e">
        <f>AND(#REF!,"AAAAAG3vZ8c=")</f>
        <v>#REF!</v>
      </c>
      <c r="GS29" t="e">
        <f>AND(#REF!,"AAAAAG3vZ8g=")</f>
        <v>#REF!</v>
      </c>
      <c r="GT29" t="e">
        <f>AND(#REF!,"AAAAAG3vZ8k=")</f>
        <v>#REF!</v>
      </c>
      <c r="GU29" t="e">
        <f>AND(#REF!,"AAAAAG3vZ8o=")</f>
        <v>#REF!</v>
      </c>
      <c r="GV29" t="e">
        <f>AND(#REF!,"AAAAAG3vZ8s=")</f>
        <v>#REF!</v>
      </c>
      <c r="GW29" t="e">
        <f>AND(#REF!,"AAAAAG3vZ8w=")</f>
        <v>#REF!</v>
      </c>
      <c r="GX29" t="e">
        <f>IF(#REF!,"AAAAAG3vZ80=",0)</f>
        <v>#REF!</v>
      </c>
      <c r="GY29" t="e">
        <f>AND(#REF!,"AAAAAG3vZ84=")</f>
        <v>#REF!</v>
      </c>
      <c r="GZ29" t="e">
        <f>AND(#REF!,"AAAAAG3vZ88=")</f>
        <v>#REF!</v>
      </c>
      <c r="HA29" t="e">
        <f>AND(#REF!,"AAAAAG3vZ9A=")</f>
        <v>#REF!</v>
      </c>
      <c r="HB29" t="e">
        <f>AND(#REF!,"AAAAAG3vZ9E=")</f>
        <v>#REF!</v>
      </c>
      <c r="HC29" t="e">
        <f>AND(#REF!,"AAAAAG3vZ9I=")</f>
        <v>#REF!</v>
      </c>
      <c r="HD29" t="e">
        <f>AND(#REF!,"AAAAAG3vZ9M=")</f>
        <v>#REF!</v>
      </c>
      <c r="HE29" t="e">
        <f>AND(#REF!,"AAAAAG3vZ9Q=")</f>
        <v>#REF!</v>
      </c>
      <c r="HF29" t="e">
        <f>AND(#REF!,"AAAAAG3vZ9U=")</f>
        <v>#REF!</v>
      </c>
      <c r="HG29" t="e">
        <f>AND(#REF!,"AAAAAG3vZ9Y=")</f>
        <v>#REF!</v>
      </c>
      <c r="HH29" t="e">
        <f>AND(#REF!,"AAAAAG3vZ9c=")</f>
        <v>#REF!</v>
      </c>
      <c r="HI29" t="e">
        <f>AND(#REF!,"AAAAAG3vZ9g=")</f>
        <v>#REF!</v>
      </c>
      <c r="HJ29" t="e">
        <f>IF(#REF!,"AAAAAG3vZ9k=",0)</f>
        <v>#REF!</v>
      </c>
      <c r="HK29" t="e">
        <f>AND(#REF!,"AAAAAG3vZ9o=")</f>
        <v>#REF!</v>
      </c>
      <c r="HL29" t="e">
        <f>AND(#REF!,"AAAAAG3vZ9s=")</f>
        <v>#REF!</v>
      </c>
      <c r="HM29" t="e">
        <f>AND(#REF!,"AAAAAG3vZ9w=")</f>
        <v>#REF!</v>
      </c>
      <c r="HN29" t="e">
        <f>AND(#REF!,"AAAAAG3vZ90=")</f>
        <v>#REF!</v>
      </c>
      <c r="HO29" t="e">
        <f>AND(#REF!,"AAAAAG3vZ94=")</f>
        <v>#REF!</v>
      </c>
      <c r="HP29" t="e">
        <f>AND(#REF!,"AAAAAG3vZ98=")</f>
        <v>#REF!</v>
      </c>
      <c r="HQ29" t="e">
        <f>AND(#REF!,"AAAAAG3vZ+A=")</f>
        <v>#REF!</v>
      </c>
      <c r="HR29" t="e">
        <f>AND(#REF!,"AAAAAG3vZ+E=")</f>
        <v>#REF!</v>
      </c>
      <c r="HS29" t="e">
        <f>AND(#REF!,"AAAAAG3vZ+I=")</f>
        <v>#REF!</v>
      </c>
      <c r="HT29" t="e">
        <f>AND(#REF!,"AAAAAG3vZ+M=")</f>
        <v>#REF!</v>
      </c>
      <c r="HU29" t="e">
        <f>AND(#REF!,"AAAAAG3vZ+Q=")</f>
        <v>#REF!</v>
      </c>
      <c r="HV29" t="e">
        <f>IF(#REF!,"AAAAAG3vZ+U=",0)</f>
        <v>#REF!</v>
      </c>
      <c r="HW29" t="e">
        <f>AND(#REF!,"AAAAAG3vZ+Y=")</f>
        <v>#REF!</v>
      </c>
      <c r="HX29" t="e">
        <f>AND(#REF!,"AAAAAG3vZ+c=")</f>
        <v>#REF!</v>
      </c>
      <c r="HY29" t="e">
        <f>AND(#REF!,"AAAAAG3vZ+g=")</f>
        <v>#REF!</v>
      </c>
      <c r="HZ29" t="e">
        <f>AND(#REF!,"AAAAAG3vZ+k=")</f>
        <v>#REF!</v>
      </c>
      <c r="IA29" t="e">
        <f>AND(#REF!,"AAAAAG3vZ+o=")</f>
        <v>#REF!</v>
      </c>
      <c r="IB29" t="e">
        <f>AND(#REF!,"AAAAAG3vZ+s=")</f>
        <v>#REF!</v>
      </c>
      <c r="IC29" t="e">
        <f>AND(#REF!,"AAAAAG3vZ+w=")</f>
        <v>#REF!</v>
      </c>
      <c r="ID29" t="e">
        <f>AND(#REF!,"AAAAAG3vZ+0=")</f>
        <v>#REF!</v>
      </c>
      <c r="IE29" t="e">
        <f>AND(#REF!,"AAAAAG3vZ+4=")</f>
        <v>#REF!</v>
      </c>
      <c r="IF29" t="e">
        <f>AND(#REF!,"AAAAAG3vZ+8=")</f>
        <v>#REF!</v>
      </c>
      <c r="IG29" t="e">
        <f>AND(#REF!,"AAAAAG3vZ/A=")</f>
        <v>#REF!</v>
      </c>
      <c r="IH29" t="e">
        <f>IF(#REF!,"AAAAAG3vZ/E=",0)</f>
        <v>#REF!</v>
      </c>
      <c r="II29" t="e">
        <f>AND(#REF!,"AAAAAG3vZ/I=")</f>
        <v>#REF!</v>
      </c>
      <c r="IJ29" t="e">
        <f>AND(#REF!,"AAAAAG3vZ/M=")</f>
        <v>#REF!</v>
      </c>
      <c r="IK29" t="e">
        <f>AND(#REF!,"AAAAAG3vZ/Q=")</f>
        <v>#REF!</v>
      </c>
      <c r="IL29" t="e">
        <f>AND(#REF!,"AAAAAG3vZ/U=")</f>
        <v>#REF!</v>
      </c>
      <c r="IM29" t="e">
        <f>AND(#REF!,"AAAAAG3vZ/Y=")</f>
        <v>#REF!</v>
      </c>
      <c r="IN29" t="e">
        <f>AND(#REF!,"AAAAAG3vZ/c=")</f>
        <v>#REF!</v>
      </c>
      <c r="IO29" t="e">
        <f>AND(#REF!,"AAAAAG3vZ/g=")</f>
        <v>#REF!</v>
      </c>
      <c r="IP29" t="e">
        <f>AND(#REF!,"AAAAAG3vZ/k=")</f>
        <v>#REF!</v>
      </c>
      <c r="IQ29" t="e">
        <f>AND(#REF!,"AAAAAG3vZ/o=")</f>
        <v>#REF!</v>
      </c>
      <c r="IR29" t="e">
        <f>AND(#REF!,"AAAAAG3vZ/s=")</f>
        <v>#REF!</v>
      </c>
      <c r="IS29" t="e">
        <f>AND(#REF!,"AAAAAG3vZ/w=")</f>
        <v>#REF!</v>
      </c>
      <c r="IT29" t="e">
        <f>IF(#REF!,"AAAAAG3vZ/0=",0)</f>
        <v>#REF!</v>
      </c>
      <c r="IU29" t="e">
        <f>AND(#REF!,"AAAAAG3vZ/4=")</f>
        <v>#REF!</v>
      </c>
      <c r="IV29" t="e">
        <f>AND(#REF!,"AAAAAG3vZ/8=")</f>
        <v>#REF!</v>
      </c>
    </row>
    <row r="30" spans="1:256">
      <c r="A30" t="e">
        <f>AND(#REF!,"AAAAAH9P3gA=")</f>
        <v>#REF!</v>
      </c>
      <c r="B30" t="e">
        <f>AND(#REF!,"AAAAAH9P3gE=")</f>
        <v>#REF!</v>
      </c>
      <c r="C30" t="e">
        <f>AND(#REF!,"AAAAAH9P3gI=")</f>
        <v>#REF!</v>
      </c>
      <c r="D30" t="e">
        <f>AND(#REF!,"AAAAAH9P3gM=")</f>
        <v>#REF!</v>
      </c>
      <c r="E30" t="e">
        <f>AND(#REF!,"AAAAAH9P3gQ=")</f>
        <v>#REF!</v>
      </c>
      <c r="F30" t="e">
        <f>AND(#REF!,"AAAAAH9P3gU=")</f>
        <v>#REF!</v>
      </c>
      <c r="G30" t="e">
        <f>AND(#REF!,"AAAAAH9P3gY=")</f>
        <v>#REF!</v>
      </c>
      <c r="H30" t="e">
        <f>AND(#REF!,"AAAAAH9P3gc=")</f>
        <v>#REF!</v>
      </c>
      <c r="I30" t="e">
        <f>AND(#REF!,"AAAAAH9P3gg=")</f>
        <v>#REF!</v>
      </c>
      <c r="J30" t="e">
        <f>IF(#REF!,"AAAAAH9P3gk=",0)</f>
        <v>#REF!</v>
      </c>
      <c r="K30" t="e">
        <f>AND(#REF!,"AAAAAH9P3go=")</f>
        <v>#REF!</v>
      </c>
      <c r="L30" t="e">
        <f>AND(#REF!,"AAAAAH9P3gs=")</f>
        <v>#REF!</v>
      </c>
      <c r="M30" t="e">
        <f>AND(#REF!,"AAAAAH9P3gw=")</f>
        <v>#REF!</v>
      </c>
      <c r="N30" t="e">
        <f>AND(#REF!,"AAAAAH9P3g0=")</f>
        <v>#REF!</v>
      </c>
      <c r="O30" t="e">
        <f>AND(#REF!,"AAAAAH9P3g4=")</f>
        <v>#REF!</v>
      </c>
      <c r="P30" t="e">
        <f>AND(#REF!,"AAAAAH9P3g8=")</f>
        <v>#REF!</v>
      </c>
      <c r="Q30" t="e">
        <f>AND(#REF!,"AAAAAH9P3hA=")</f>
        <v>#REF!</v>
      </c>
      <c r="R30" t="e">
        <f>AND(#REF!,"AAAAAH9P3hE=")</f>
        <v>#REF!</v>
      </c>
      <c r="S30" t="e">
        <f>AND(#REF!,"AAAAAH9P3hI=")</f>
        <v>#REF!</v>
      </c>
      <c r="T30" t="e">
        <f>AND(#REF!,"AAAAAH9P3hM=")</f>
        <v>#REF!</v>
      </c>
      <c r="U30" t="e">
        <f>AND(#REF!,"AAAAAH9P3hQ=")</f>
        <v>#REF!</v>
      </c>
      <c r="V30" t="e">
        <f>IF(#REF!,"AAAAAH9P3hU=",0)</f>
        <v>#REF!</v>
      </c>
      <c r="W30" t="e">
        <f>AND(#REF!,"AAAAAH9P3hY=")</f>
        <v>#REF!</v>
      </c>
      <c r="X30" t="e">
        <f>AND(#REF!,"AAAAAH9P3hc=")</f>
        <v>#REF!</v>
      </c>
      <c r="Y30" t="e">
        <f>AND(#REF!,"AAAAAH9P3hg=")</f>
        <v>#REF!</v>
      </c>
      <c r="Z30" t="e">
        <f>AND(#REF!,"AAAAAH9P3hk=")</f>
        <v>#REF!</v>
      </c>
      <c r="AA30" t="e">
        <f>AND(#REF!,"AAAAAH9P3ho=")</f>
        <v>#REF!</v>
      </c>
      <c r="AB30" t="e">
        <f>AND(#REF!,"AAAAAH9P3hs=")</f>
        <v>#REF!</v>
      </c>
      <c r="AC30" t="e">
        <f>AND(#REF!,"AAAAAH9P3hw=")</f>
        <v>#REF!</v>
      </c>
      <c r="AD30" t="e">
        <f>AND(#REF!,"AAAAAH9P3h0=")</f>
        <v>#REF!</v>
      </c>
      <c r="AE30" t="e">
        <f>AND(#REF!,"AAAAAH9P3h4=")</f>
        <v>#REF!</v>
      </c>
      <c r="AF30" t="e">
        <f>AND(#REF!,"AAAAAH9P3h8=")</f>
        <v>#REF!</v>
      </c>
      <c r="AG30" t="e">
        <f>AND(#REF!,"AAAAAH9P3iA=")</f>
        <v>#REF!</v>
      </c>
      <c r="AH30" t="e">
        <f>IF(#REF!,"AAAAAH9P3iE=",0)</f>
        <v>#REF!</v>
      </c>
      <c r="AI30" t="e">
        <f>AND(#REF!,"AAAAAH9P3iI=")</f>
        <v>#REF!</v>
      </c>
      <c r="AJ30" t="e">
        <f>AND(#REF!,"AAAAAH9P3iM=")</f>
        <v>#REF!</v>
      </c>
      <c r="AK30" t="e">
        <f>AND(#REF!,"AAAAAH9P3iQ=")</f>
        <v>#REF!</v>
      </c>
      <c r="AL30" t="e">
        <f>AND(#REF!,"AAAAAH9P3iU=")</f>
        <v>#REF!</v>
      </c>
      <c r="AM30" t="e">
        <f>AND(#REF!,"AAAAAH9P3iY=")</f>
        <v>#REF!</v>
      </c>
      <c r="AN30" t="e">
        <f>AND(#REF!,"AAAAAH9P3ic=")</f>
        <v>#REF!</v>
      </c>
      <c r="AO30" t="e">
        <f>AND(#REF!,"AAAAAH9P3ig=")</f>
        <v>#REF!</v>
      </c>
      <c r="AP30" t="e">
        <f>AND(#REF!,"AAAAAH9P3ik=")</f>
        <v>#REF!</v>
      </c>
      <c r="AQ30" t="e">
        <f>AND(#REF!,"AAAAAH9P3io=")</f>
        <v>#REF!</v>
      </c>
      <c r="AR30" t="e">
        <f>AND(#REF!,"AAAAAH9P3is=")</f>
        <v>#REF!</v>
      </c>
      <c r="AS30" t="e">
        <f>AND(#REF!,"AAAAAH9P3iw=")</f>
        <v>#REF!</v>
      </c>
      <c r="AT30" t="e">
        <f>IF(#REF!,"AAAAAH9P3i0=",0)</f>
        <v>#REF!</v>
      </c>
      <c r="AU30" t="e">
        <f>AND(#REF!,"AAAAAH9P3i4=")</f>
        <v>#REF!</v>
      </c>
      <c r="AV30" t="e">
        <f>AND(#REF!,"AAAAAH9P3i8=")</f>
        <v>#REF!</v>
      </c>
      <c r="AW30" t="e">
        <f>AND(#REF!,"AAAAAH9P3jA=")</f>
        <v>#REF!</v>
      </c>
      <c r="AX30" t="e">
        <f>AND(#REF!,"AAAAAH9P3jE=")</f>
        <v>#REF!</v>
      </c>
      <c r="AY30" t="e">
        <f>AND(#REF!,"AAAAAH9P3jI=")</f>
        <v>#REF!</v>
      </c>
      <c r="AZ30" t="e">
        <f>AND(#REF!,"AAAAAH9P3jM=")</f>
        <v>#REF!</v>
      </c>
      <c r="BA30" t="e">
        <f>AND(#REF!,"AAAAAH9P3jQ=")</f>
        <v>#REF!</v>
      </c>
      <c r="BB30" t="e">
        <f>AND(#REF!,"AAAAAH9P3jU=")</f>
        <v>#REF!</v>
      </c>
      <c r="BC30" t="e">
        <f>AND(#REF!,"AAAAAH9P3jY=")</f>
        <v>#REF!</v>
      </c>
      <c r="BD30" t="e">
        <f>AND(#REF!,"AAAAAH9P3jc=")</f>
        <v>#REF!</v>
      </c>
      <c r="BE30" t="e">
        <f>AND(#REF!,"AAAAAH9P3jg=")</f>
        <v>#REF!</v>
      </c>
      <c r="BF30" t="e">
        <f>IF(#REF!,"AAAAAH9P3jk=",0)</f>
        <v>#REF!</v>
      </c>
      <c r="BG30" t="e">
        <f>AND(#REF!,"AAAAAH9P3jo=")</f>
        <v>#REF!</v>
      </c>
      <c r="BH30" t="e">
        <f>AND(#REF!,"AAAAAH9P3js=")</f>
        <v>#REF!</v>
      </c>
      <c r="BI30" t="e">
        <f>AND(#REF!,"AAAAAH9P3jw=")</f>
        <v>#REF!</v>
      </c>
      <c r="BJ30" t="e">
        <f>AND(#REF!,"AAAAAH9P3j0=")</f>
        <v>#REF!</v>
      </c>
      <c r="BK30" t="e">
        <f>AND(#REF!,"AAAAAH9P3j4=")</f>
        <v>#REF!</v>
      </c>
      <c r="BL30" t="e">
        <f>AND(#REF!,"AAAAAH9P3j8=")</f>
        <v>#REF!</v>
      </c>
      <c r="BM30" t="e">
        <f>AND(#REF!,"AAAAAH9P3kA=")</f>
        <v>#REF!</v>
      </c>
      <c r="BN30" t="e">
        <f>AND(#REF!,"AAAAAH9P3kE=")</f>
        <v>#REF!</v>
      </c>
      <c r="BO30" t="e">
        <f>AND(#REF!,"AAAAAH9P3kI=")</f>
        <v>#REF!</v>
      </c>
      <c r="BP30" t="e">
        <f>AND(#REF!,"AAAAAH9P3kM=")</f>
        <v>#REF!</v>
      </c>
      <c r="BQ30" t="e">
        <f>AND(#REF!,"AAAAAH9P3kQ=")</f>
        <v>#REF!</v>
      </c>
      <c r="BR30" t="e">
        <f>IF(#REF!,"AAAAAH9P3kU=",0)</f>
        <v>#REF!</v>
      </c>
      <c r="BS30" t="e">
        <f>AND(#REF!,"AAAAAH9P3kY=")</f>
        <v>#REF!</v>
      </c>
      <c r="BT30" t="e">
        <f>AND(#REF!,"AAAAAH9P3kc=")</f>
        <v>#REF!</v>
      </c>
      <c r="BU30" t="e">
        <f>AND(#REF!,"AAAAAH9P3kg=")</f>
        <v>#REF!</v>
      </c>
      <c r="BV30" t="e">
        <f>AND(#REF!,"AAAAAH9P3kk=")</f>
        <v>#REF!</v>
      </c>
      <c r="BW30" t="e">
        <f>AND(#REF!,"AAAAAH9P3ko=")</f>
        <v>#REF!</v>
      </c>
      <c r="BX30" t="e">
        <f>AND(#REF!,"AAAAAH9P3ks=")</f>
        <v>#REF!</v>
      </c>
      <c r="BY30" t="e">
        <f>AND(#REF!,"AAAAAH9P3kw=")</f>
        <v>#REF!</v>
      </c>
      <c r="BZ30" t="e">
        <f>AND(#REF!,"AAAAAH9P3k0=")</f>
        <v>#REF!</v>
      </c>
      <c r="CA30" t="e">
        <f>AND(#REF!,"AAAAAH9P3k4=")</f>
        <v>#REF!</v>
      </c>
      <c r="CB30" t="e">
        <f>AND(#REF!,"AAAAAH9P3k8=")</f>
        <v>#REF!</v>
      </c>
      <c r="CC30" t="e">
        <f>AND(#REF!,"AAAAAH9P3lA=")</f>
        <v>#REF!</v>
      </c>
      <c r="CD30" t="e">
        <f>IF(#REF!,"AAAAAH9P3lE=",0)</f>
        <v>#REF!</v>
      </c>
      <c r="CE30" t="e">
        <f>AND(#REF!,"AAAAAH9P3lI=")</f>
        <v>#REF!</v>
      </c>
      <c r="CF30" t="e">
        <f>AND(#REF!,"AAAAAH9P3lM=")</f>
        <v>#REF!</v>
      </c>
      <c r="CG30" t="e">
        <f>AND(#REF!,"AAAAAH9P3lQ=")</f>
        <v>#REF!</v>
      </c>
      <c r="CH30" t="e">
        <f>AND(#REF!,"AAAAAH9P3lU=")</f>
        <v>#REF!</v>
      </c>
      <c r="CI30" t="e">
        <f>AND(#REF!,"AAAAAH9P3lY=")</f>
        <v>#REF!</v>
      </c>
      <c r="CJ30" t="e">
        <f>AND(#REF!,"AAAAAH9P3lc=")</f>
        <v>#REF!</v>
      </c>
      <c r="CK30" t="e">
        <f>AND(#REF!,"AAAAAH9P3lg=")</f>
        <v>#REF!</v>
      </c>
      <c r="CL30" t="e">
        <f>AND(#REF!,"AAAAAH9P3lk=")</f>
        <v>#REF!</v>
      </c>
      <c r="CM30" t="e">
        <f>AND(#REF!,"AAAAAH9P3lo=")</f>
        <v>#REF!</v>
      </c>
      <c r="CN30" t="e">
        <f>AND(#REF!,"AAAAAH9P3ls=")</f>
        <v>#REF!</v>
      </c>
      <c r="CO30" t="e">
        <f>AND(#REF!,"AAAAAH9P3lw=")</f>
        <v>#REF!</v>
      </c>
      <c r="CP30" t="e">
        <f>IF(#REF!,"AAAAAH9P3l0=",0)</f>
        <v>#REF!</v>
      </c>
      <c r="CQ30" t="e">
        <f>AND(#REF!,"AAAAAH9P3l4=")</f>
        <v>#REF!</v>
      </c>
      <c r="CR30" t="e">
        <f>AND(#REF!,"AAAAAH9P3l8=")</f>
        <v>#REF!</v>
      </c>
      <c r="CS30" t="e">
        <f>AND(#REF!,"AAAAAH9P3mA=")</f>
        <v>#REF!</v>
      </c>
      <c r="CT30" t="e">
        <f>AND(#REF!,"AAAAAH9P3mE=")</f>
        <v>#REF!</v>
      </c>
      <c r="CU30" t="e">
        <f>AND(#REF!,"AAAAAH9P3mI=")</f>
        <v>#REF!</v>
      </c>
      <c r="CV30" t="e">
        <f>AND(#REF!,"AAAAAH9P3mM=")</f>
        <v>#REF!</v>
      </c>
      <c r="CW30" t="e">
        <f>AND(#REF!,"AAAAAH9P3mQ=")</f>
        <v>#REF!</v>
      </c>
      <c r="CX30" t="e">
        <f>AND(#REF!,"AAAAAH9P3mU=")</f>
        <v>#REF!</v>
      </c>
      <c r="CY30" t="e">
        <f>AND(#REF!,"AAAAAH9P3mY=")</f>
        <v>#REF!</v>
      </c>
      <c r="CZ30" t="e">
        <f>AND(#REF!,"AAAAAH9P3mc=")</f>
        <v>#REF!</v>
      </c>
      <c r="DA30" t="e">
        <f>AND(#REF!,"AAAAAH9P3mg=")</f>
        <v>#REF!</v>
      </c>
      <c r="DB30" t="e">
        <f>IF(#REF!,"AAAAAH9P3mk=",0)</f>
        <v>#REF!</v>
      </c>
      <c r="DC30" t="e">
        <f>AND(#REF!,"AAAAAH9P3mo=")</f>
        <v>#REF!</v>
      </c>
      <c r="DD30" t="e">
        <f>AND(#REF!,"AAAAAH9P3ms=")</f>
        <v>#REF!</v>
      </c>
      <c r="DE30" t="e">
        <f>AND(#REF!,"AAAAAH9P3mw=")</f>
        <v>#REF!</v>
      </c>
      <c r="DF30" t="e">
        <f>AND(#REF!,"AAAAAH9P3m0=")</f>
        <v>#REF!</v>
      </c>
      <c r="DG30" t="e">
        <f>AND(#REF!,"AAAAAH9P3m4=")</f>
        <v>#REF!</v>
      </c>
      <c r="DH30" t="e">
        <f>AND(#REF!,"AAAAAH9P3m8=")</f>
        <v>#REF!</v>
      </c>
      <c r="DI30" t="e">
        <f>AND(#REF!,"AAAAAH9P3nA=")</f>
        <v>#REF!</v>
      </c>
      <c r="DJ30" t="e">
        <f>AND(#REF!,"AAAAAH9P3nE=")</f>
        <v>#REF!</v>
      </c>
      <c r="DK30" t="e">
        <f>AND(#REF!,"AAAAAH9P3nI=")</f>
        <v>#REF!</v>
      </c>
      <c r="DL30" t="e">
        <f>AND(#REF!,"AAAAAH9P3nM=")</f>
        <v>#REF!</v>
      </c>
      <c r="DM30" t="e">
        <f>AND(#REF!,"AAAAAH9P3nQ=")</f>
        <v>#REF!</v>
      </c>
      <c r="DN30" t="e">
        <f>IF(#REF!,"AAAAAH9P3nU=",0)</f>
        <v>#REF!</v>
      </c>
      <c r="DO30" t="e">
        <f>AND(#REF!,"AAAAAH9P3nY=")</f>
        <v>#REF!</v>
      </c>
      <c r="DP30" t="e">
        <f>AND(#REF!,"AAAAAH9P3nc=")</f>
        <v>#REF!</v>
      </c>
      <c r="DQ30" t="e">
        <f>AND(#REF!,"AAAAAH9P3ng=")</f>
        <v>#REF!</v>
      </c>
      <c r="DR30" t="e">
        <f>AND(#REF!,"AAAAAH9P3nk=")</f>
        <v>#REF!</v>
      </c>
      <c r="DS30" t="e">
        <f>AND(#REF!,"AAAAAH9P3no=")</f>
        <v>#REF!</v>
      </c>
      <c r="DT30" t="e">
        <f>AND(#REF!,"AAAAAH9P3ns=")</f>
        <v>#REF!</v>
      </c>
      <c r="DU30" t="e">
        <f>AND(#REF!,"AAAAAH9P3nw=")</f>
        <v>#REF!</v>
      </c>
      <c r="DV30" t="e">
        <f>AND(#REF!,"AAAAAH9P3n0=")</f>
        <v>#REF!</v>
      </c>
      <c r="DW30" t="e">
        <f>AND(#REF!,"AAAAAH9P3n4=")</f>
        <v>#REF!</v>
      </c>
      <c r="DX30" t="e">
        <f>AND(#REF!,"AAAAAH9P3n8=")</f>
        <v>#REF!</v>
      </c>
      <c r="DY30" t="e">
        <f>AND(#REF!,"AAAAAH9P3oA=")</f>
        <v>#REF!</v>
      </c>
      <c r="DZ30" t="e">
        <f>IF(#REF!,"AAAAAH9P3oE=",0)</f>
        <v>#REF!</v>
      </c>
      <c r="EA30" t="e">
        <f>AND(#REF!,"AAAAAH9P3oI=")</f>
        <v>#REF!</v>
      </c>
      <c r="EB30" t="e">
        <f>AND(#REF!,"AAAAAH9P3oM=")</f>
        <v>#REF!</v>
      </c>
      <c r="EC30" t="e">
        <f>AND(#REF!,"AAAAAH9P3oQ=")</f>
        <v>#REF!</v>
      </c>
      <c r="ED30" t="e">
        <f>AND(#REF!,"AAAAAH9P3oU=")</f>
        <v>#REF!</v>
      </c>
      <c r="EE30" t="e">
        <f>AND(#REF!,"AAAAAH9P3oY=")</f>
        <v>#REF!</v>
      </c>
      <c r="EF30" t="e">
        <f>AND(#REF!,"AAAAAH9P3oc=")</f>
        <v>#REF!</v>
      </c>
      <c r="EG30" t="e">
        <f>AND(#REF!,"AAAAAH9P3og=")</f>
        <v>#REF!</v>
      </c>
      <c r="EH30" t="e">
        <f>AND(#REF!,"AAAAAH9P3ok=")</f>
        <v>#REF!</v>
      </c>
      <c r="EI30" t="e">
        <f>AND(#REF!,"AAAAAH9P3oo=")</f>
        <v>#REF!</v>
      </c>
      <c r="EJ30" t="e">
        <f>AND(#REF!,"AAAAAH9P3os=")</f>
        <v>#REF!</v>
      </c>
      <c r="EK30" t="e">
        <f>AND(#REF!,"AAAAAH9P3ow=")</f>
        <v>#REF!</v>
      </c>
      <c r="EL30" t="e">
        <f>IF(#REF!,"AAAAAH9P3o0=",0)</f>
        <v>#REF!</v>
      </c>
      <c r="EM30" t="e">
        <f>AND(#REF!,"AAAAAH9P3o4=")</f>
        <v>#REF!</v>
      </c>
      <c r="EN30" t="e">
        <f>AND(#REF!,"AAAAAH9P3o8=")</f>
        <v>#REF!</v>
      </c>
      <c r="EO30" t="e">
        <f>AND(#REF!,"AAAAAH9P3pA=")</f>
        <v>#REF!</v>
      </c>
      <c r="EP30" t="e">
        <f>AND(#REF!,"AAAAAH9P3pE=")</f>
        <v>#REF!</v>
      </c>
      <c r="EQ30" t="e">
        <f>AND(#REF!,"AAAAAH9P3pI=")</f>
        <v>#REF!</v>
      </c>
      <c r="ER30" t="e">
        <f>AND(#REF!,"AAAAAH9P3pM=")</f>
        <v>#REF!</v>
      </c>
      <c r="ES30" t="e">
        <f>AND(#REF!,"AAAAAH9P3pQ=")</f>
        <v>#REF!</v>
      </c>
      <c r="ET30" t="e">
        <f>AND(#REF!,"AAAAAH9P3pU=")</f>
        <v>#REF!</v>
      </c>
      <c r="EU30" t="e">
        <f>AND(#REF!,"AAAAAH9P3pY=")</f>
        <v>#REF!</v>
      </c>
      <c r="EV30" t="e">
        <f>AND(#REF!,"AAAAAH9P3pc=")</f>
        <v>#REF!</v>
      </c>
      <c r="EW30" t="e">
        <f>AND(#REF!,"AAAAAH9P3pg=")</f>
        <v>#REF!</v>
      </c>
      <c r="EX30" t="e">
        <f>IF(#REF!,"AAAAAH9P3pk=",0)</f>
        <v>#REF!</v>
      </c>
      <c r="EY30" t="e">
        <f>AND(#REF!,"AAAAAH9P3po=")</f>
        <v>#REF!</v>
      </c>
      <c r="EZ30" t="e">
        <f>AND(#REF!,"AAAAAH9P3ps=")</f>
        <v>#REF!</v>
      </c>
      <c r="FA30" t="e">
        <f>AND(#REF!,"AAAAAH9P3pw=")</f>
        <v>#REF!</v>
      </c>
      <c r="FB30" t="e">
        <f>AND(#REF!,"AAAAAH9P3p0=")</f>
        <v>#REF!</v>
      </c>
      <c r="FC30" t="e">
        <f>AND(#REF!,"AAAAAH9P3p4=")</f>
        <v>#REF!</v>
      </c>
      <c r="FD30" t="e">
        <f>AND(#REF!,"AAAAAH9P3p8=")</f>
        <v>#REF!</v>
      </c>
      <c r="FE30" t="e">
        <f>AND(#REF!,"AAAAAH9P3qA=")</f>
        <v>#REF!</v>
      </c>
      <c r="FF30" t="e">
        <f>AND(#REF!,"AAAAAH9P3qE=")</f>
        <v>#REF!</v>
      </c>
      <c r="FG30" t="e">
        <f>AND(#REF!,"AAAAAH9P3qI=")</f>
        <v>#REF!</v>
      </c>
      <c r="FH30" t="e">
        <f>AND(#REF!,"AAAAAH9P3qM=")</f>
        <v>#REF!</v>
      </c>
      <c r="FI30" t="e">
        <f>AND(#REF!,"AAAAAH9P3qQ=")</f>
        <v>#REF!</v>
      </c>
      <c r="FJ30" t="e">
        <f>IF(#REF!,"AAAAAH9P3qU=",0)</f>
        <v>#REF!</v>
      </c>
      <c r="FK30" t="e">
        <f>AND(#REF!,"AAAAAH9P3qY=")</f>
        <v>#REF!</v>
      </c>
      <c r="FL30" t="e">
        <f>AND(#REF!,"AAAAAH9P3qc=")</f>
        <v>#REF!</v>
      </c>
      <c r="FM30" t="e">
        <f>AND(#REF!,"AAAAAH9P3qg=")</f>
        <v>#REF!</v>
      </c>
      <c r="FN30" t="e">
        <f>AND(#REF!,"AAAAAH9P3qk=")</f>
        <v>#REF!</v>
      </c>
      <c r="FO30" t="e">
        <f>AND(#REF!,"AAAAAH9P3qo=")</f>
        <v>#REF!</v>
      </c>
      <c r="FP30" t="e">
        <f>AND(#REF!,"AAAAAH9P3qs=")</f>
        <v>#REF!</v>
      </c>
      <c r="FQ30" t="e">
        <f>AND(#REF!,"AAAAAH9P3qw=")</f>
        <v>#REF!</v>
      </c>
      <c r="FR30" t="e">
        <f>AND(#REF!,"AAAAAH9P3q0=")</f>
        <v>#REF!</v>
      </c>
      <c r="FS30" t="e">
        <f>AND(#REF!,"AAAAAH9P3q4=")</f>
        <v>#REF!</v>
      </c>
      <c r="FT30" t="e">
        <f>AND(#REF!,"AAAAAH9P3q8=")</f>
        <v>#REF!</v>
      </c>
      <c r="FU30" t="e">
        <f>AND(#REF!,"AAAAAH9P3rA=")</f>
        <v>#REF!</v>
      </c>
      <c r="FV30" t="e">
        <f>IF(#REF!,"AAAAAH9P3rE=",0)</f>
        <v>#REF!</v>
      </c>
      <c r="FW30" t="e">
        <f>AND(#REF!,"AAAAAH9P3rI=")</f>
        <v>#REF!</v>
      </c>
      <c r="FX30" t="e">
        <f>AND(#REF!,"AAAAAH9P3rM=")</f>
        <v>#REF!</v>
      </c>
      <c r="FY30" t="e">
        <f>AND(#REF!,"AAAAAH9P3rQ=")</f>
        <v>#REF!</v>
      </c>
      <c r="FZ30" t="e">
        <f>AND(#REF!,"AAAAAH9P3rU=")</f>
        <v>#REF!</v>
      </c>
      <c r="GA30" t="e">
        <f>AND(#REF!,"AAAAAH9P3rY=")</f>
        <v>#REF!</v>
      </c>
      <c r="GB30" t="e">
        <f>AND(#REF!,"AAAAAH9P3rc=")</f>
        <v>#REF!</v>
      </c>
      <c r="GC30" t="e">
        <f>AND(#REF!,"AAAAAH9P3rg=")</f>
        <v>#REF!</v>
      </c>
      <c r="GD30" t="e">
        <f>AND(#REF!,"AAAAAH9P3rk=")</f>
        <v>#REF!</v>
      </c>
      <c r="GE30" t="e">
        <f>AND(#REF!,"AAAAAH9P3ro=")</f>
        <v>#REF!</v>
      </c>
      <c r="GF30" t="e">
        <f>AND(#REF!,"AAAAAH9P3rs=")</f>
        <v>#REF!</v>
      </c>
      <c r="GG30" t="e">
        <f>AND(#REF!,"AAAAAH9P3rw=")</f>
        <v>#REF!</v>
      </c>
      <c r="GH30" t="e">
        <f>IF(#REF!,"AAAAAH9P3r0=",0)</f>
        <v>#REF!</v>
      </c>
      <c r="GI30" t="e">
        <f>AND(#REF!,"AAAAAH9P3r4=")</f>
        <v>#REF!</v>
      </c>
      <c r="GJ30" t="e">
        <f>AND(#REF!,"AAAAAH9P3r8=")</f>
        <v>#REF!</v>
      </c>
      <c r="GK30" t="e">
        <f>AND(#REF!,"AAAAAH9P3sA=")</f>
        <v>#REF!</v>
      </c>
      <c r="GL30" t="e">
        <f>AND(#REF!,"AAAAAH9P3sE=")</f>
        <v>#REF!</v>
      </c>
      <c r="GM30" t="e">
        <f>AND(#REF!,"AAAAAH9P3sI=")</f>
        <v>#REF!</v>
      </c>
      <c r="GN30" t="e">
        <f>AND(#REF!,"AAAAAH9P3sM=")</f>
        <v>#REF!</v>
      </c>
      <c r="GO30" t="e">
        <f>AND(#REF!,"AAAAAH9P3sQ=")</f>
        <v>#REF!</v>
      </c>
      <c r="GP30" t="e">
        <f>AND(#REF!,"AAAAAH9P3sU=")</f>
        <v>#REF!</v>
      </c>
      <c r="GQ30" t="e">
        <f>AND(#REF!,"AAAAAH9P3sY=")</f>
        <v>#REF!</v>
      </c>
      <c r="GR30" t="e">
        <f>AND(#REF!,"AAAAAH9P3sc=")</f>
        <v>#REF!</v>
      </c>
      <c r="GS30" t="e">
        <f>AND(#REF!,"AAAAAH9P3sg=")</f>
        <v>#REF!</v>
      </c>
      <c r="GT30" t="e">
        <f>IF(#REF!,"AAAAAH9P3sk=",0)</f>
        <v>#REF!</v>
      </c>
      <c r="GU30" t="e">
        <f>AND(#REF!,"AAAAAH9P3so=")</f>
        <v>#REF!</v>
      </c>
      <c r="GV30" t="e">
        <f>AND(#REF!,"AAAAAH9P3ss=")</f>
        <v>#REF!</v>
      </c>
      <c r="GW30" t="e">
        <f>AND(#REF!,"AAAAAH9P3sw=")</f>
        <v>#REF!</v>
      </c>
      <c r="GX30" t="e">
        <f>AND(#REF!,"AAAAAH9P3s0=")</f>
        <v>#REF!</v>
      </c>
      <c r="GY30" t="e">
        <f>AND(#REF!,"AAAAAH9P3s4=")</f>
        <v>#REF!</v>
      </c>
      <c r="GZ30" t="e">
        <f>AND(#REF!,"AAAAAH9P3s8=")</f>
        <v>#REF!</v>
      </c>
      <c r="HA30" t="e">
        <f>AND(#REF!,"AAAAAH9P3tA=")</f>
        <v>#REF!</v>
      </c>
      <c r="HB30" t="e">
        <f>AND(#REF!,"AAAAAH9P3tE=")</f>
        <v>#REF!</v>
      </c>
      <c r="HC30" t="e">
        <f>AND(#REF!,"AAAAAH9P3tI=")</f>
        <v>#REF!</v>
      </c>
      <c r="HD30" t="e">
        <f>AND(#REF!,"AAAAAH9P3tM=")</f>
        <v>#REF!</v>
      </c>
      <c r="HE30" t="e">
        <f>AND(#REF!,"AAAAAH9P3tQ=")</f>
        <v>#REF!</v>
      </c>
      <c r="HF30" t="e">
        <f>IF(#REF!,"AAAAAH9P3tU=",0)</f>
        <v>#REF!</v>
      </c>
      <c r="HG30" t="e">
        <f>AND(#REF!,"AAAAAH9P3tY=")</f>
        <v>#REF!</v>
      </c>
      <c r="HH30" t="e">
        <f>AND(#REF!,"AAAAAH9P3tc=")</f>
        <v>#REF!</v>
      </c>
      <c r="HI30" t="e">
        <f>AND(#REF!,"AAAAAH9P3tg=")</f>
        <v>#REF!</v>
      </c>
      <c r="HJ30" t="e">
        <f>AND(#REF!,"AAAAAH9P3tk=")</f>
        <v>#REF!</v>
      </c>
      <c r="HK30" t="e">
        <f>AND(#REF!,"AAAAAH9P3to=")</f>
        <v>#REF!</v>
      </c>
      <c r="HL30" t="e">
        <f>AND(#REF!,"AAAAAH9P3ts=")</f>
        <v>#REF!</v>
      </c>
      <c r="HM30" t="e">
        <f>AND(#REF!,"AAAAAH9P3tw=")</f>
        <v>#REF!</v>
      </c>
      <c r="HN30" t="e">
        <f>AND(#REF!,"AAAAAH9P3t0=")</f>
        <v>#REF!</v>
      </c>
      <c r="HO30" t="e">
        <f>AND(#REF!,"AAAAAH9P3t4=")</f>
        <v>#REF!</v>
      </c>
      <c r="HP30" t="e">
        <f>AND(#REF!,"AAAAAH9P3t8=")</f>
        <v>#REF!</v>
      </c>
      <c r="HQ30" t="e">
        <f>AND(#REF!,"AAAAAH9P3uA=")</f>
        <v>#REF!</v>
      </c>
      <c r="HR30" t="e">
        <f>IF(#REF!,"AAAAAH9P3uE=",0)</f>
        <v>#REF!</v>
      </c>
      <c r="HS30" t="e">
        <f>AND(#REF!,"AAAAAH9P3uI=")</f>
        <v>#REF!</v>
      </c>
      <c r="HT30" t="e">
        <f>AND(#REF!,"AAAAAH9P3uM=")</f>
        <v>#REF!</v>
      </c>
      <c r="HU30" t="e">
        <f>AND(#REF!,"AAAAAH9P3uQ=")</f>
        <v>#REF!</v>
      </c>
      <c r="HV30" t="e">
        <f>AND(#REF!,"AAAAAH9P3uU=")</f>
        <v>#REF!</v>
      </c>
      <c r="HW30" t="e">
        <f>AND(#REF!,"AAAAAH9P3uY=")</f>
        <v>#REF!</v>
      </c>
      <c r="HX30" t="e">
        <f>AND(#REF!,"AAAAAH9P3uc=")</f>
        <v>#REF!</v>
      </c>
      <c r="HY30" t="e">
        <f>AND(#REF!,"AAAAAH9P3ug=")</f>
        <v>#REF!</v>
      </c>
      <c r="HZ30" t="e">
        <f>AND(#REF!,"AAAAAH9P3uk=")</f>
        <v>#REF!</v>
      </c>
      <c r="IA30" t="e">
        <f>AND(#REF!,"AAAAAH9P3uo=")</f>
        <v>#REF!</v>
      </c>
      <c r="IB30" t="e">
        <f>AND(#REF!,"AAAAAH9P3us=")</f>
        <v>#REF!</v>
      </c>
      <c r="IC30" t="e">
        <f>AND(#REF!,"AAAAAH9P3uw=")</f>
        <v>#REF!</v>
      </c>
      <c r="ID30" t="e">
        <f>IF(#REF!,"AAAAAH9P3u0=",0)</f>
        <v>#REF!</v>
      </c>
      <c r="IE30" t="e">
        <f>AND(#REF!,"AAAAAH9P3u4=")</f>
        <v>#REF!</v>
      </c>
      <c r="IF30" t="e">
        <f>AND(#REF!,"AAAAAH9P3u8=")</f>
        <v>#REF!</v>
      </c>
      <c r="IG30" t="e">
        <f>AND(#REF!,"AAAAAH9P3vA=")</f>
        <v>#REF!</v>
      </c>
      <c r="IH30" t="e">
        <f>AND(#REF!,"AAAAAH9P3vE=")</f>
        <v>#REF!</v>
      </c>
      <c r="II30" t="e">
        <f>AND(#REF!,"AAAAAH9P3vI=")</f>
        <v>#REF!</v>
      </c>
      <c r="IJ30" t="e">
        <f>AND(#REF!,"AAAAAH9P3vM=")</f>
        <v>#REF!</v>
      </c>
      <c r="IK30" t="e">
        <f>AND(#REF!,"AAAAAH9P3vQ=")</f>
        <v>#REF!</v>
      </c>
      <c r="IL30" t="e">
        <f>AND(#REF!,"AAAAAH9P3vU=")</f>
        <v>#REF!</v>
      </c>
      <c r="IM30" t="e">
        <f>AND(#REF!,"AAAAAH9P3vY=")</f>
        <v>#REF!</v>
      </c>
      <c r="IN30" t="e">
        <f>AND(#REF!,"AAAAAH9P3vc=")</f>
        <v>#REF!</v>
      </c>
      <c r="IO30" t="e">
        <f>AND(#REF!,"AAAAAH9P3vg=")</f>
        <v>#REF!</v>
      </c>
      <c r="IP30" t="e">
        <f>IF(#REF!,"AAAAAH9P3vk=",0)</f>
        <v>#REF!</v>
      </c>
      <c r="IQ30" t="e">
        <f>AND(#REF!,"AAAAAH9P3vo=")</f>
        <v>#REF!</v>
      </c>
      <c r="IR30" t="e">
        <f>AND(#REF!,"AAAAAH9P3vs=")</f>
        <v>#REF!</v>
      </c>
      <c r="IS30" t="e">
        <f>AND(#REF!,"AAAAAH9P3vw=")</f>
        <v>#REF!</v>
      </c>
      <c r="IT30" t="e">
        <f>AND(#REF!,"AAAAAH9P3v0=")</f>
        <v>#REF!</v>
      </c>
      <c r="IU30" t="e">
        <f>AND(#REF!,"AAAAAH9P3v4=")</f>
        <v>#REF!</v>
      </c>
      <c r="IV30" t="e">
        <f>AND(#REF!,"AAAAAH9P3v8=")</f>
        <v>#REF!</v>
      </c>
    </row>
    <row r="31" spans="1:256">
      <c r="A31" t="e">
        <f>AND(#REF!,"AAAAAHy/ewA=")</f>
        <v>#REF!</v>
      </c>
      <c r="B31" t="e">
        <f>AND(#REF!,"AAAAAHy/ewE=")</f>
        <v>#REF!</v>
      </c>
      <c r="C31" t="e">
        <f>AND(#REF!,"AAAAAHy/ewI=")</f>
        <v>#REF!</v>
      </c>
      <c r="D31" t="e">
        <f>AND(#REF!,"AAAAAHy/ewM=")</f>
        <v>#REF!</v>
      </c>
      <c r="E31" t="e">
        <f>AND(#REF!,"AAAAAHy/ewQ=")</f>
        <v>#REF!</v>
      </c>
      <c r="F31" t="e">
        <f>IF(#REF!,"AAAAAHy/ewU=",0)</f>
        <v>#REF!</v>
      </c>
      <c r="G31" t="e">
        <f>AND(#REF!,"AAAAAHy/ewY=")</f>
        <v>#REF!</v>
      </c>
      <c r="H31" t="e">
        <f>AND(#REF!,"AAAAAHy/ewc=")</f>
        <v>#REF!</v>
      </c>
      <c r="I31" t="e">
        <f>AND(#REF!,"AAAAAHy/ewg=")</f>
        <v>#REF!</v>
      </c>
      <c r="J31" t="e">
        <f>AND(#REF!,"AAAAAHy/ewk=")</f>
        <v>#REF!</v>
      </c>
      <c r="K31" t="e">
        <f>AND(#REF!,"AAAAAHy/ewo=")</f>
        <v>#REF!</v>
      </c>
      <c r="L31" t="e">
        <f>AND(#REF!,"AAAAAHy/ews=")</f>
        <v>#REF!</v>
      </c>
      <c r="M31" t="e">
        <f>AND(#REF!,"AAAAAHy/eww=")</f>
        <v>#REF!</v>
      </c>
      <c r="N31" t="e">
        <f>AND(#REF!,"AAAAAHy/ew0=")</f>
        <v>#REF!</v>
      </c>
      <c r="O31" t="e">
        <f>AND(#REF!,"AAAAAHy/ew4=")</f>
        <v>#REF!</v>
      </c>
      <c r="P31" t="e">
        <f>AND(#REF!,"AAAAAHy/ew8=")</f>
        <v>#REF!</v>
      </c>
      <c r="Q31" t="e">
        <f>AND(#REF!,"AAAAAHy/exA=")</f>
        <v>#REF!</v>
      </c>
      <c r="R31" t="e">
        <f>IF(#REF!,"AAAAAHy/exE=",0)</f>
        <v>#REF!</v>
      </c>
      <c r="S31" t="e">
        <f>AND(#REF!,"AAAAAHy/exI=")</f>
        <v>#REF!</v>
      </c>
      <c r="T31" t="e">
        <f>AND(#REF!,"AAAAAHy/exM=")</f>
        <v>#REF!</v>
      </c>
      <c r="U31" t="e">
        <f>AND(#REF!,"AAAAAHy/exQ=")</f>
        <v>#REF!</v>
      </c>
      <c r="V31" t="e">
        <f>AND(#REF!,"AAAAAHy/exU=")</f>
        <v>#REF!</v>
      </c>
      <c r="W31" t="e">
        <f>AND(#REF!,"AAAAAHy/exY=")</f>
        <v>#REF!</v>
      </c>
      <c r="X31" t="e">
        <f>AND(#REF!,"AAAAAHy/exc=")</f>
        <v>#REF!</v>
      </c>
      <c r="Y31" t="e">
        <f>AND(#REF!,"AAAAAHy/exg=")</f>
        <v>#REF!</v>
      </c>
      <c r="Z31" t="e">
        <f>AND(#REF!,"AAAAAHy/exk=")</f>
        <v>#REF!</v>
      </c>
      <c r="AA31" t="e">
        <f>AND(#REF!,"AAAAAHy/exo=")</f>
        <v>#REF!</v>
      </c>
      <c r="AB31" t="e">
        <f>AND(#REF!,"AAAAAHy/exs=")</f>
        <v>#REF!</v>
      </c>
      <c r="AC31" t="e">
        <f>AND(#REF!,"AAAAAHy/exw=")</f>
        <v>#REF!</v>
      </c>
      <c r="AD31" t="e">
        <f>IF(#REF!,"AAAAAHy/ex0=",0)</f>
        <v>#REF!</v>
      </c>
      <c r="AE31" t="e">
        <f>AND(#REF!,"AAAAAHy/ex4=")</f>
        <v>#REF!</v>
      </c>
      <c r="AF31" t="e">
        <f>AND(#REF!,"AAAAAHy/ex8=")</f>
        <v>#REF!</v>
      </c>
      <c r="AG31" t="e">
        <f>AND(#REF!,"AAAAAHy/eyA=")</f>
        <v>#REF!</v>
      </c>
      <c r="AH31" t="e">
        <f>AND(#REF!,"AAAAAHy/eyE=")</f>
        <v>#REF!</v>
      </c>
      <c r="AI31" t="e">
        <f>AND(#REF!,"AAAAAHy/eyI=")</f>
        <v>#REF!</v>
      </c>
      <c r="AJ31" t="e">
        <f>AND(#REF!,"AAAAAHy/eyM=")</f>
        <v>#REF!</v>
      </c>
      <c r="AK31" t="e">
        <f>AND(#REF!,"AAAAAHy/eyQ=")</f>
        <v>#REF!</v>
      </c>
      <c r="AL31" t="e">
        <f>AND(#REF!,"AAAAAHy/eyU=")</f>
        <v>#REF!</v>
      </c>
      <c r="AM31" t="e">
        <f>AND(#REF!,"AAAAAHy/eyY=")</f>
        <v>#REF!</v>
      </c>
      <c r="AN31" t="e">
        <f>AND(#REF!,"AAAAAHy/eyc=")</f>
        <v>#REF!</v>
      </c>
      <c r="AO31" t="e">
        <f>AND(#REF!,"AAAAAHy/eyg=")</f>
        <v>#REF!</v>
      </c>
      <c r="AP31" t="e">
        <f>IF(#REF!,"AAAAAHy/eyk=",0)</f>
        <v>#REF!</v>
      </c>
      <c r="AQ31" t="e">
        <f>AND(#REF!,"AAAAAHy/eyo=")</f>
        <v>#REF!</v>
      </c>
      <c r="AR31" t="e">
        <f>AND(#REF!,"AAAAAHy/eys=")</f>
        <v>#REF!</v>
      </c>
      <c r="AS31" t="e">
        <f>AND(#REF!,"AAAAAHy/eyw=")</f>
        <v>#REF!</v>
      </c>
      <c r="AT31" t="e">
        <f>AND(#REF!,"AAAAAHy/ey0=")</f>
        <v>#REF!</v>
      </c>
      <c r="AU31" t="e">
        <f>AND(#REF!,"AAAAAHy/ey4=")</f>
        <v>#REF!</v>
      </c>
      <c r="AV31" t="e">
        <f>AND(#REF!,"AAAAAHy/ey8=")</f>
        <v>#REF!</v>
      </c>
      <c r="AW31" t="e">
        <f>AND(#REF!,"AAAAAHy/ezA=")</f>
        <v>#REF!</v>
      </c>
      <c r="AX31" t="e">
        <f>AND(#REF!,"AAAAAHy/ezE=")</f>
        <v>#REF!</v>
      </c>
      <c r="AY31" t="e">
        <f>AND(#REF!,"AAAAAHy/ezI=")</f>
        <v>#REF!</v>
      </c>
      <c r="AZ31" t="e">
        <f>AND(#REF!,"AAAAAHy/ezM=")</f>
        <v>#REF!</v>
      </c>
      <c r="BA31" t="e">
        <f>AND(#REF!,"AAAAAHy/ezQ=")</f>
        <v>#REF!</v>
      </c>
      <c r="BB31" t="e">
        <f>IF(#REF!,"AAAAAHy/ezU=",0)</f>
        <v>#REF!</v>
      </c>
      <c r="BC31" t="e">
        <f>AND(#REF!,"AAAAAHy/ezY=")</f>
        <v>#REF!</v>
      </c>
      <c r="BD31" t="e">
        <f>AND(#REF!,"AAAAAHy/ezc=")</f>
        <v>#REF!</v>
      </c>
      <c r="BE31" t="e">
        <f>AND(#REF!,"AAAAAHy/ezg=")</f>
        <v>#REF!</v>
      </c>
      <c r="BF31" t="e">
        <f>AND(#REF!,"AAAAAHy/ezk=")</f>
        <v>#REF!</v>
      </c>
      <c r="BG31" t="e">
        <f>AND(#REF!,"AAAAAHy/ezo=")</f>
        <v>#REF!</v>
      </c>
      <c r="BH31" t="e">
        <f>AND(#REF!,"AAAAAHy/ezs=")</f>
        <v>#REF!</v>
      </c>
      <c r="BI31" t="e">
        <f>AND(#REF!,"AAAAAHy/ezw=")</f>
        <v>#REF!</v>
      </c>
      <c r="BJ31" t="e">
        <f>AND(#REF!,"AAAAAHy/ez0=")</f>
        <v>#REF!</v>
      </c>
      <c r="BK31" t="e">
        <f>AND(#REF!,"AAAAAHy/ez4=")</f>
        <v>#REF!</v>
      </c>
      <c r="BL31" t="e">
        <f>AND(#REF!,"AAAAAHy/ez8=")</f>
        <v>#REF!</v>
      </c>
      <c r="BM31" t="e">
        <f>AND(#REF!,"AAAAAHy/e0A=")</f>
        <v>#REF!</v>
      </c>
      <c r="BN31" t="e">
        <f>IF(#REF!,"AAAAAHy/e0E=",0)</f>
        <v>#REF!</v>
      </c>
      <c r="BO31" t="e">
        <f>AND(#REF!,"AAAAAHy/e0I=")</f>
        <v>#REF!</v>
      </c>
      <c r="BP31" t="e">
        <f>AND(#REF!,"AAAAAHy/e0M=")</f>
        <v>#REF!</v>
      </c>
      <c r="BQ31" t="e">
        <f>AND(#REF!,"AAAAAHy/e0Q=")</f>
        <v>#REF!</v>
      </c>
      <c r="BR31" t="e">
        <f>AND(#REF!,"AAAAAHy/e0U=")</f>
        <v>#REF!</v>
      </c>
      <c r="BS31" t="e">
        <f>AND(#REF!,"AAAAAHy/e0Y=")</f>
        <v>#REF!</v>
      </c>
      <c r="BT31" t="e">
        <f>AND(#REF!,"AAAAAHy/e0c=")</f>
        <v>#REF!</v>
      </c>
      <c r="BU31" t="e">
        <f>AND(#REF!,"AAAAAHy/e0g=")</f>
        <v>#REF!</v>
      </c>
      <c r="BV31" t="e">
        <f>AND(#REF!,"AAAAAHy/e0k=")</f>
        <v>#REF!</v>
      </c>
      <c r="BW31" t="e">
        <f>AND(#REF!,"AAAAAHy/e0o=")</f>
        <v>#REF!</v>
      </c>
      <c r="BX31" t="e">
        <f>AND(#REF!,"AAAAAHy/e0s=")</f>
        <v>#REF!</v>
      </c>
      <c r="BY31" t="e">
        <f>AND(#REF!,"AAAAAHy/e0w=")</f>
        <v>#REF!</v>
      </c>
      <c r="BZ31" t="e">
        <f>IF(#REF!,"AAAAAHy/e00=",0)</f>
        <v>#REF!</v>
      </c>
      <c r="CA31" t="e">
        <f>AND(#REF!,"AAAAAHy/e04=")</f>
        <v>#REF!</v>
      </c>
      <c r="CB31" t="e">
        <f>AND(#REF!,"AAAAAHy/e08=")</f>
        <v>#REF!</v>
      </c>
      <c r="CC31" t="e">
        <f>AND(#REF!,"AAAAAHy/e1A=")</f>
        <v>#REF!</v>
      </c>
      <c r="CD31" t="e">
        <f>AND(#REF!,"AAAAAHy/e1E=")</f>
        <v>#REF!</v>
      </c>
      <c r="CE31" t="e">
        <f>AND(#REF!,"AAAAAHy/e1I=")</f>
        <v>#REF!</v>
      </c>
      <c r="CF31" t="e">
        <f>AND(#REF!,"AAAAAHy/e1M=")</f>
        <v>#REF!</v>
      </c>
      <c r="CG31" t="e">
        <f>AND(#REF!,"AAAAAHy/e1Q=")</f>
        <v>#REF!</v>
      </c>
      <c r="CH31" t="e">
        <f>AND(#REF!,"AAAAAHy/e1U=")</f>
        <v>#REF!</v>
      </c>
      <c r="CI31" t="e">
        <f>AND(#REF!,"AAAAAHy/e1Y=")</f>
        <v>#REF!</v>
      </c>
      <c r="CJ31" t="e">
        <f>AND(#REF!,"AAAAAHy/e1c=")</f>
        <v>#REF!</v>
      </c>
      <c r="CK31" t="e">
        <f>AND(#REF!,"AAAAAHy/e1g=")</f>
        <v>#REF!</v>
      </c>
      <c r="CL31" t="e">
        <f>IF(#REF!,"AAAAAHy/e1k=",0)</f>
        <v>#REF!</v>
      </c>
      <c r="CM31" t="e">
        <f>AND(#REF!,"AAAAAHy/e1o=")</f>
        <v>#REF!</v>
      </c>
      <c r="CN31" t="e">
        <f>AND(#REF!,"AAAAAHy/e1s=")</f>
        <v>#REF!</v>
      </c>
      <c r="CO31" t="e">
        <f>AND(#REF!,"AAAAAHy/e1w=")</f>
        <v>#REF!</v>
      </c>
      <c r="CP31" t="e">
        <f>AND(#REF!,"AAAAAHy/e10=")</f>
        <v>#REF!</v>
      </c>
      <c r="CQ31" t="e">
        <f>AND(#REF!,"AAAAAHy/e14=")</f>
        <v>#REF!</v>
      </c>
      <c r="CR31" t="e">
        <f>AND(#REF!,"AAAAAHy/e18=")</f>
        <v>#REF!</v>
      </c>
      <c r="CS31" t="e">
        <f>AND(#REF!,"AAAAAHy/e2A=")</f>
        <v>#REF!</v>
      </c>
      <c r="CT31" t="e">
        <f>AND(#REF!,"AAAAAHy/e2E=")</f>
        <v>#REF!</v>
      </c>
      <c r="CU31" t="e">
        <f>AND(#REF!,"AAAAAHy/e2I=")</f>
        <v>#REF!</v>
      </c>
      <c r="CV31" t="e">
        <f>AND(#REF!,"AAAAAHy/e2M=")</f>
        <v>#REF!</v>
      </c>
      <c r="CW31" t="e">
        <f>AND(#REF!,"AAAAAHy/e2Q=")</f>
        <v>#REF!</v>
      </c>
      <c r="CX31" t="e">
        <f>IF(#REF!,"AAAAAHy/e2U=",0)</f>
        <v>#REF!</v>
      </c>
      <c r="CY31" t="e">
        <f>AND(#REF!,"AAAAAHy/e2Y=")</f>
        <v>#REF!</v>
      </c>
      <c r="CZ31" t="e">
        <f>AND(#REF!,"AAAAAHy/e2c=")</f>
        <v>#REF!</v>
      </c>
      <c r="DA31" t="e">
        <f>AND(#REF!,"AAAAAHy/e2g=")</f>
        <v>#REF!</v>
      </c>
      <c r="DB31" t="e">
        <f>AND(#REF!,"AAAAAHy/e2k=")</f>
        <v>#REF!</v>
      </c>
      <c r="DC31" t="e">
        <f>AND(#REF!,"AAAAAHy/e2o=")</f>
        <v>#REF!</v>
      </c>
      <c r="DD31" t="e">
        <f>AND(#REF!,"AAAAAHy/e2s=")</f>
        <v>#REF!</v>
      </c>
      <c r="DE31" t="e">
        <f>AND(#REF!,"AAAAAHy/e2w=")</f>
        <v>#REF!</v>
      </c>
      <c r="DF31" t="e">
        <f>AND(#REF!,"AAAAAHy/e20=")</f>
        <v>#REF!</v>
      </c>
      <c r="DG31" t="e">
        <f>AND(#REF!,"AAAAAHy/e24=")</f>
        <v>#REF!</v>
      </c>
      <c r="DH31" t="e">
        <f>AND(#REF!,"AAAAAHy/e28=")</f>
        <v>#REF!</v>
      </c>
      <c r="DI31" t="e">
        <f>AND(#REF!,"AAAAAHy/e3A=")</f>
        <v>#REF!</v>
      </c>
      <c r="DJ31" t="e">
        <f>IF(#REF!,"AAAAAHy/e3E=",0)</f>
        <v>#REF!</v>
      </c>
      <c r="DK31" t="e">
        <f>AND(#REF!,"AAAAAHy/e3I=")</f>
        <v>#REF!</v>
      </c>
      <c r="DL31" t="e">
        <f>AND(#REF!,"AAAAAHy/e3M=")</f>
        <v>#REF!</v>
      </c>
      <c r="DM31" t="e">
        <f>AND(#REF!,"AAAAAHy/e3Q=")</f>
        <v>#REF!</v>
      </c>
      <c r="DN31" t="e">
        <f>AND(#REF!,"AAAAAHy/e3U=")</f>
        <v>#REF!</v>
      </c>
      <c r="DO31" t="e">
        <f>AND(#REF!,"AAAAAHy/e3Y=")</f>
        <v>#REF!</v>
      </c>
      <c r="DP31" t="e">
        <f>AND(#REF!,"AAAAAHy/e3c=")</f>
        <v>#REF!</v>
      </c>
      <c r="DQ31" t="e">
        <f>AND(#REF!,"AAAAAHy/e3g=")</f>
        <v>#REF!</v>
      </c>
      <c r="DR31" t="e">
        <f>AND(#REF!,"AAAAAHy/e3k=")</f>
        <v>#REF!</v>
      </c>
      <c r="DS31" t="e">
        <f>AND(#REF!,"AAAAAHy/e3o=")</f>
        <v>#REF!</v>
      </c>
      <c r="DT31" t="e">
        <f>AND(#REF!,"AAAAAHy/e3s=")</f>
        <v>#REF!</v>
      </c>
      <c r="DU31" t="e">
        <f>AND(#REF!,"AAAAAHy/e3w=")</f>
        <v>#REF!</v>
      </c>
      <c r="DV31" t="e">
        <f>IF(#REF!,"AAAAAHy/e30=",0)</f>
        <v>#REF!</v>
      </c>
      <c r="DW31" t="e">
        <f>AND(#REF!,"AAAAAHy/e34=")</f>
        <v>#REF!</v>
      </c>
      <c r="DX31" t="e">
        <f>AND(#REF!,"AAAAAHy/e38=")</f>
        <v>#REF!</v>
      </c>
      <c r="DY31" t="e">
        <f>AND(#REF!,"AAAAAHy/e4A=")</f>
        <v>#REF!</v>
      </c>
      <c r="DZ31" t="e">
        <f>AND(#REF!,"AAAAAHy/e4E=")</f>
        <v>#REF!</v>
      </c>
      <c r="EA31" t="e">
        <f>AND(#REF!,"AAAAAHy/e4I=")</f>
        <v>#REF!</v>
      </c>
      <c r="EB31" t="e">
        <f>AND(#REF!,"AAAAAHy/e4M=")</f>
        <v>#REF!</v>
      </c>
      <c r="EC31" t="e">
        <f>AND(#REF!,"AAAAAHy/e4Q=")</f>
        <v>#REF!</v>
      </c>
      <c r="ED31" t="e">
        <f>AND(#REF!,"AAAAAHy/e4U=")</f>
        <v>#REF!</v>
      </c>
      <c r="EE31" t="e">
        <f>AND(#REF!,"AAAAAHy/e4Y=")</f>
        <v>#REF!</v>
      </c>
      <c r="EF31" t="e">
        <f>AND(#REF!,"AAAAAHy/e4c=")</f>
        <v>#REF!</v>
      </c>
      <c r="EG31" t="e">
        <f>AND(#REF!,"AAAAAHy/e4g=")</f>
        <v>#REF!</v>
      </c>
      <c r="EH31" t="e">
        <f>IF(#REF!,"AAAAAHy/e4k=",0)</f>
        <v>#REF!</v>
      </c>
      <c r="EI31" t="e">
        <f>AND(#REF!,"AAAAAHy/e4o=")</f>
        <v>#REF!</v>
      </c>
      <c r="EJ31" t="e">
        <f>AND(#REF!,"AAAAAHy/e4s=")</f>
        <v>#REF!</v>
      </c>
      <c r="EK31" t="e">
        <f>AND(#REF!,"AAAAAHy/e4w=")</f>
        <v>#REF!</v>
      </c>
      <c r="EL31" t="e">
        <f>AND(#REF!,"AAAAAHy/e40=")</f>
        <v>#REF!</v>
      </c>
      <c r="EM31" t="e">
        <f>AND(#REF!,"AAAAAHy/e44=")</f>
        <v>#REF!</v>
      </c>
      <c r="EN31" t="e">
        <f>AND(#REF!,"AAAAAHy/e48=")</f>
        <v>#REF!</v>
      </c>
      <c r="EO31" t="e">
        <f>AND(#REF!,"AAAAAHy/e5A=")</f>
        <v>#REF!</v>
      </c>
      <c r="EP31" t="e">
        <f>AND(#REF!,"AAAAAHy/e5E=")</f>
        <v>#REF!</v>
      </c>
      <c r="EQ31" t="e">
        <f>AND(#REF!,"AAAAAHy/e5I=")</f>
        <v>#REF!</v>
      </c>
      <c r="ER31" t="e">
        <f>AND(#REF!,"AAAAAHy/e5M=")</f>
        <v>#REF!</v>
      </c>
      <c r="ES31" t="e">
        <f>AND(#REF!,"AAAAAHy/e5Q=")</f>
        <v>#REF!</v>
      </c>
      <c r="ET31" t="e">
        <f>IF(#REF!,"AAAAAHy/e5U=",0)</f>
        <v>#REF!</v>
      </c>
      <c r="EU31" t="e">
        <f>AND(#REF!,"AAAAAHy/e5Y=")</f>
        <v>#REF!</v>
      </c>
      <c r="EV31" t="e">
        <f>AND(#REF!,"AAAAAHy/e5c=")</f>
        <v>#REF!</v>
      </c>
      <c r="EW31" t="e">
        <f>AND(#REF!,"AAAAAHy/e5g=")</f>
        <v>#REF!</v>
      </c>
      <c r="EX31" t="e">
        <f>AND(#REF!,"AAAAAHy/e5k=")</f>
        <v>#REF!</v>
      </c>
      <c r="EY31" t="e">
        <f>AND(#REF!,"AAAAAHy/e5o=")</f>
        <v>#REF!</v>
      </c>
      <c r="EZ31" t="e">
        <f>AND(#REF!,"AAAAAHy/e5s=")</f>
        <v>#REF!</v>
      </c>
      <c r="FA31" t="e">
        <f>AND(#REF!,"AAAAAHy/e5w=")</f>
        <v>#REF!</v>
      </c>
      <c r="FB31" t="e">
        <f>AND(#REF!,"AAAAAHy/e50=")</f>
        <v>#REF!</v>
      </c>
      <c r="FC31" t="e">
        <f>AND(#REF!,"AAAAAHy/e54=")</f>
        <v>#REF!</v>
      </c>
      <c r="FD31" t="e">
        <f>AND(#REF!,"AAAAAHy/e58=")</f>
        <v>#REF!</v>
      </c>
      <c r="FE31" t="e">
        <f>AND(#REF!,"AAAAAHy/e6A=")</f>
        <v>#REF!</v>
      </c>
      <c r="FF31" t="e">
        <f>IF(#REF!,"AAAAAHy/e6E=",0)</f>
        <v>#REF!</v>
      </c>
      <c r="FG31" t="e">
        <f>AND(#REF!,"AAAAAHy/e6I=")</f>
        <v>#REF!</v>
      </c>
      <c r="FH31" t="e">
        <f>AND(#REF!,"AAAAAHy/e6M=")</f>
        <v>#REF!</v>
      </c>
      <c r="FI31" t="e">
        <f>AND(#REF!,"AAAAAHy/e6Q=")</f>
        <v>#REF!</v>
      </c>
      <c r="FJ31" t="e">
        <f>AND(#REF!,"AAAAAHy/e6U=")</f>
        <v>#REF!</v>
      </c>
      <c r="FK31" t="e">
        <f>AND(#REF!,"AAAAAHy/e6Y=")</f>
        <v>#REF!</v>
      </c>
      <c r="FL31" t="e">
        <f>AND(#REF!,"AAAAAHy/e6c=")</f>
        <v>#REF!</v>
      </c>
      <c r="FM31" t="e">
        <f>AND(#REF!,"AAAAAHy/e6g=")</f>
        <v>#REF!</v>
      </c>
      <c r="FN31" t="e">
        <f>AND(#REF!,"AAAAAHy/e6k=")</f>
        <v>#REF!</v>
      </c>
      <c r="FO31" t="e">
        <f>AND(#REF!,"AAAAAHy/e6o=")</f>
        <v>#REF!</v>
      </c>
      <c r="FP31" t="e">
        <f>AND(#REF!,"AAAAAHy/e6s=")</f>
        <v>#REF!</v>
      </c>
      <c r="FQ31" t="e">
        <f>AND(#REF!,"AAAAAHy/e6w=")</f>
        <v>#REF!</v>
      </c>
      <c r="FR31" t="e">
        <f>IF(#REF!,"AAAAAHy/e60=",0)</f>
        <v>#REF!</v>
      </c>
      <c r="FS31" t="e">
        <f>AND(#REF!,"AAAAAHy/e64=")</f>
        <v>#REF!</v>
      </c>
      <c r="FT31" t="e">
        <f>AND(#REF!,"AAAAAHy/e68=")</f>
        <v>#REF!</v>
      </c>
      <c r="FU31" t="e">
        <f>AND(#REF!,"AAAAAHy/e7A=")</f>
        <v>#REF!</v>
      </c>
      <c r="FV31" t="e">
        <f>AND(#REF!,"AAAAAHy/e7E=")</f>
        <v>#REF!</v>
      </c>
      <c r="FW31" t="e">
        <f>AND(#REF!,"AAAAAHy/e7I=")</f>
        <v>#REF!</v>
      </c>
      <c r="FX31" t="e">
        <f>AND(#REF!,"AAAAAHy/e7M=")</f>
        <v>#REF!</v>
      </c>
      <c r="FY31" t="e">
        <f>AND(#REF!,"AAAAAHy/e7Q=")</f>
        <v>#REF!</v>
      </c>
      <c r="FZ31" t="e">
        <f>AND(#REF!,"AAAAAHy/e7U=")</f>
        <v>#REF!</v>
      </c>
      <c r="GA31" t="e">
        <f>AND(#REF!,"AAAAAHy/e7Y=")</f>
        <v>#REF!</v>
      </c>
      <c r="GB31" t="e">
        <f>AND(#REF!,"AAAAAHy/e7c=")</f>
        <v>#REF!</v>
      </c>
      <c r="GC31" t="e">
        <f>AND(#REF!,"AAAAAHy/e7g=")</f>
        <v>#REF!</v>
      </c>
      <c r="GD31" t="e">
        <f>IF(#REF!,"AAAAAHy/e7k=",0)</f>
        <v>#REF!</v>
      </c>
      <c r="GE31" t="e">
        <f>AND(#REF!,"AAAAAHy/e7o=")</f>
        <v>#REF!</v>
      </c>
      <c r="GF31" t="e">
        <f>AND(#REF!,"AAAAAHy/e7s=")</f>
        <v>#REF!</v>
      </c>
      <c r="GG31" t="e">
        <f>AND(#REF!,"AAAAAHy/e7w=")</f>
        <v>#REF!</v>
      </c>
      <c r="GH31" t="e">
        <f>AND(#REF!,"AAAAAHy/e70=")</f>
        <v>#REF!</v>
      </c>
      <c r="GI31" t="e">
        <f>AND(#REF!,"AAAAAHy/e74=")</f>
        <v>#REF!</v>
      </c>
      <c r="GJ31" t="e">
        <f>AND(#REF!,"AAAAAHy/e78=")</f>
        <v>#REF!</v>
      </c>
      <c r="GK31" t="e">
        <f>AND(#REF!,"AAAAAHy/e8A=")</f>
        <v>#REF!</v>
      </c>
      <c r="GL31" t="e">
        <f>AND(#REF!,"AAAAAHy/e8E=")</f>
        <v>#REF!</v>
      </c>
      <c r="GM31" t="e">
        <f>AND(#REF!,"AAAAAHy/e8I=")</f>
        <v>#REF!</v>
      </c>
      <c r="GN31" t="e">
        <f>AND(#REF!,"AAAAAHy/e8M=")</f>
        <v>#REF!</v>
      </c>
      <c r="GO31" t="e">
        <f>AND(#REF!,"AAAAAHy/e8Q=")</f>
        <v>#REF!</v>
      </c>
      <c r="GP31" t="e">
        <f>IF(#REF!,"AAAAAHy/e8U=",0)</f>
        <v>#REF!</v>
      </c>
      <c r="GQ31" t="e">
        <f>AND(#REF!,"AAAAAHy/e8Y=")</f>
        <v>#REF!</v>
      </c>
      <c r="GR31" t="e">
        <f>AND(#REF!,"AAAAAHy/e8c=")</f>
        <v>#REF!</v>
      </c>
      <c r="GS31" t="e">
        <f>AND(#REF!,"AAAAAHy/e8g=")</f>
        <v>#REF!</v>
      </c>
      <c r="GT31" t="e">
        <f>AND(#REF!,"AAAAAHy/e8k=")</f>
        <v>#REF!</v>
      </c>
      <c r="GU31" t="e">
        <f>AND(#REF!,"AAAAAHy/e8o=")</f>
        <v>#REF!</v>
      </c>
      <c r="GV31" t="e">
        <f>AND(#REF!,"AAAAAHy/e8s=")</f>
        <v>#REF!</v>
      </c>
      <c r="GW31" t="e">
        <f>AND(#REF!,"AAAAAHy/e8w=")</f>
        <v>#REF!</v>
      </c>
      <c r="GX31" t="e">
        <f>AND(#REF!,"AAAAAHy/e80=")</f>
        <v>#REF!</v>
      </c>
      <c r="GY31" t="e">
        <f>AND(#REF!,"AAAAAHy/e84=")</f>
        <v>#REF!</v>
      </c>
      <c r="GZ31" t="e">
        <f>AND(#REF!,"AAAAAHy/e88=")</f>
        <v>#REF!</v>
      </c>
      <c r="HA31" t="e">
        <f>AND(#REF!,"AAAAAHy/e9A=")</f>
        <v>#REF!</v>
      </c>
      <c r="HB31" t="e">
        <f>IF(#REF!,"AAAAAHy/e9E=",0)</f>
        <v>#REF!</v>
      </c>
      <c r="HC31" t="e">
        <f>AND(#REF!,"AAAAAHy/e9I=")</f>
        <v>#REF!</v>
      </c>
      <c r="HD31" t="e">
        <f>AND(#REF!,"AAAAAHy/e9M=")</f>
        <v>#REF!</v>
      </c>
      <c r="HE31" t="e">
        <f>AND(#REF!,"AAAAAHy/e9Q=")</f>
        <v>#REF!</v>
      </c>
      <c r="HF31" t="e">
        <f>AND(#REF!,"AAAAAHy/e9U=")</f>
        <v>#REF!</v>
      </c>
      <c r="HG31" t="e">
        <f>AND(#REF!,"AAAAAHy/e9Y=")</f>
        <v>#REF!</v>
      </c>
      <c r="HH31" t="e">
        <f>AND(#REF!,"AAAAAHy/e9c=")</f>
        <v>#REF!</v>
      </c>
      <c r="HI31" t="e">
        <f>AND(#REF!,"AAAAAHy/e9g=")</f>
        <v>#REF!</v>
      </c>
      <c r="HJ31" t="e">
        <f>AND(#REF!,"AAAAAHy/e9k=")</f>
        <v>#REF!</v>
      </c>
      <c r="HK31" t="e">
        <f>AND(#REF!,"AAAAAHy/e9o=")</f>
        <v>#REF!</v>
      </c>
      <c r="HL31" t="e">
        <f>AND(#REF!,"AAAAAHy/e9s=")</f>
        <v>#REF!</v>
      </c>
      <c r="HM31" t="e">
        <f>AND(#REF!,"AAAAAHy/e9w=")</f>
        <v>#REF!</v>
      </c>
      <c r="HN31" t="e">
        <f>IF(#REF!,"AAAAAHy/e90=",0)</f>
        <v>#REF!</v>
      </c>
      <c r="HO31" t="e">
        <f>AND(#REF!,"AAAAAHy/e94=")</f>
        <v>#REF!</v>
      </c>
      <c r="HP31" t="e">
        <f>AND(#REF!,"AAAAAHy/e98=")</f>
        <v>#REF!</v>
      </c>
      <c r="HQ31" t="e">
        <f>AND(#REF!,"AAAAAHy/e+A=")</f>
        <v>#REF!</v>
      </c>
      <c r="HR31" t="e">
        <f>AND(#REF!,"AAAAAHy/e+E=")</f>
        <v>#REF!</v>
      </c>
      <c r="HS31" t="e">
        <f>AND(#REF!,"AAAAAHy/e+I=")</f>
        <v>#REF!</v>
      </c>
      <c r="HT31" t="e">
        <f>AND(#REF!,"AAAAAHy/e+M=")</f>
        <v>#REF!</v>
      </c>
      <c r="HU31" t="e">
        <f>AND(#REF!,"AAAAAHy/e+Q=")</f>
        <v>#REF!</v>
      </c>
      <c r="HV31" t="e">
        <f>AND(#REF!,"AAAAAHy/e+U=")</f>
        <v>#REF!</v>
      </c>
      <c r="HW31" t="e">
        <f>AND(#REF!,"AAAAAHy/e+Y=")</f>
        <v>#REF!</v>
      </c>
      <c r="HX31" t="e">
        <f>AND(#REF!,"AAAAAHy/e+c=")</f>
        <v>#REF!</v>
      </c>
      <c r="HY31" t="e">
        <f>AND(#REF!,"AAAAAHy/e+g=")</f>
        <v>#REF!</v>
      </c>
      <c r="HZ31" t="e">
        <f>IF(#REF!,"AAAAAHy/e+k=",0)</f>
        <v>#REF!</v>
      </c>
      <c r="IA31" t="e">
        <f>AND(#REF!,"AAAAAHy/e+o=")</f>
        <v>#REF!</v>
      </c>
      <c r="IB31" t="e">
        <f>AND(#REF!,"AAAAAHy/e+s=")</f>
        <v>#REF!</v>
      </c>
      <c r="IC31" t="e">
        <f>AND(#REF!,"AAAAAHy/e+w=")</f>
        <v>#REF!</v>
      </c>
      <c r="ID31" t="e">
        <f>AND(#REF!,"AAAAAHy/e+0=")</f>
        <v>#REF!</v>
      </c>
      <c r="IE31" t="e">
        <f>AND(#REF!,"AAAAAHy/e+4=")</f>
        <v>#REF!</v>
      </c>
      <c r="IF31" t="e">
        <f>AND(#REF!,"AAAAAHy/e+8=")</f>
        <v>#REF!</v>
      </c>
      <c r="IG31" t="e">
        <f>AND(#REF!,"AAAAAHy/e/A=")</f>
        <v>#REF!</v>
      </c>
      <c r="IH31" t="e">
        <f>AND(#REF!,"AAAAAHy/e/E=")</f>
        <v>#REF!</v>
      </c>
      <c r="II31" t="e">
        <f>AND(#REF!,"AAAAAHy/e/I=")</f>
        <v>#REF!</v>
      </c>
      <c r="IJ31" t="e">
        <f>AND(#REF!,"AAAAAHy/e/M=")</f>
        <v>#REF!</v>
      </c>
      <c r="IK31" t="e">
        <f>AND(#REF!,"AAAAAHy/e/Q=")</f>
        <v>#REF!</v>
      </c>
      <c r="IL31" t="e">
        <f>IF(#REF!,"AAAAAHy/e/U=",0)</f>
        <v>#REF!</v>
      </c>
      <c r="IM31" t="e">
        <f>AND(#REF!,"AAAAAHy/e/Y=")</f>
        <v>#REF!</v>
      </c>
      <c r="IN31" t="e">
        <f>AND(#REF!,"AAAAAHy/e/c=")</f>
        <v>#REF!</v>
      </c>
      <c r="IO31" t="e">
        <f>AND(#REF!,"AAAAAHy/e/g=")</f>
        <v>#REF!</v>
      </c>
      <c r="IP31" t="e">
        <f>AND(#REF!,"AAAAAHy/e/k=")</f>
        <v>#REF!</v>
      </c>
      <c r="IQ31" t="e">
        <f>AND(#REF!,"AAAAAHy/e/o=")</f>
        <v>#REF!</v>
      </c>
      <c r="IR31" t="e">
        <f>AND(#REF!,"AAAAAHy/e/s=")</f>
        <v>#REF!</v>
      </c>
      <c r="IS31" t="e">
        <f>AND(#REF!,"AAAAAHy/e/w=")</f>
        <v>#REF!</v>
      </c>
      <c r="IT31" t="e">
        <f>AND(#REF!,"AAAAAHy/e/0=")</f>
        <v>#REF!</v>
      </c>
      <c r="IU31" t="e">
        <f>AND(#REF!,"AAAAAHy/e/4=")</f>
        <v>#REF!</v>
      </c>
      <c r="IV31" t="e">
        <f>AND(#REF!,"AAAAAHy/e/8=")</f>
        <v>#REF!</v>
      </c>
    </row>
    <row r="32" spans="1:256">
      <c r="A32" t="e">
        <f>AND(#REF!,"AAAAAHj/+gA=")</f>
        <v>#REF!</v>
      </c>
      <c r="B32" t="e">
        <f>IF(#REF!,"AAAAAHj/+gE=",0)</f>
        <v>#REF!</v>
      </c>
      <c r="C32" t="e">
        <f>AND(#REF!,"AAAAAHj/+gI=")</f>
        <v>#REF!</v>
      </c>
      <c r="D32" t="e">
        <f>AND(#REF!,"AAAAAHj/+gM=")</f>
        <v>#REF!</v>
      </c>
      <c r="E32" t="e">
        <f>AND(#REF!,"AAAAAHj/+gQ=")</f>
        <v>#REF!</v>
      </c>
      <c r="F32" t="e">
        <f>AND(#REF!,"AAAAAHj/+gU=")</f>
        <v>#REF!</v>
      </c>
      <c r="G32" t="e">
        <f>AND(#REF!,"AAAAAHj/+gY=")</f>
        <v>#REF!</v>
      </c>
      <c r="H32" t="e">
        <f>AND(#REF!,"AAAAAHj/+gc=")</f>
        <v>#REF!</v>
      </c>
      <c r="I32" t="e">
        <f>AND(#REF!,"AAAAAHj/+gg=")</f>
        <v>#REF!</v>
      </c>
      <c r="J32" t="e">
        <f>AND(#REF!,"AAAAAHj/+gk=")</f>
        <v>#REF!</v>
      </c>
      <c r="K32" t="e">
        <f>AND(#REF!,"AAAAAHj/+go=")</f>
        <v>#REF!</v>
      </c>
      <c r="L32" t="e">
        <f>AND(#REF!,"AAAAAHj/+gs=")</f>
        <v>#REF!</v>
      </c>
      <c r="M32" t="e">
        <f>AND(#REF!,"AAAAAHj/+gw=")</f>
        <v>#REF!</v>
      </c>
      <c r="N32" t="e">
        <f>IF(#REF!,"AAAAAHj/+g0=",0)</f>
        <v>#REF!</v>
      </c>
      <c r="O32" t="e">
        <f>AND(#REF!,"AAAAAHj/+g4=")</f>
        <v>#REF!</v>
      </c>
      <c r="P32" t="e">
        <f>AND(#REF!,"AAAAAHj/+g8=")</f>
        <v>#REF!</v>
      </c>
      <c r="Q32" t="e">
        <f>AND(#REF!,"AAAAAHj/+hA=")</f>
        <v>#REF!</v>
      </c>
      <c r="R32" t="e">
        <f>AND(#REF!,"AAAAAHj/+hE=")</f>
        <v>#REF!</v>
      </c>
      <c r="S32" t="e">
        <f>AND(#REF!,"AAAAAHj/+hI=")</f>
        <v>#REF!</v>
      </c>
      <c r="T32" t="e">
        <f>AND(#REF!,"AAAAAHj/+hM=")</f>
        <v>#REF!</v>
      </c>
      <c r="U32" t="e">
        <f>AND(#REF!,"AAAAAHj/+hQ=")</f>
        <v>#REF!</v>
      </c>
      <c r="V32" t="e">
        <f>AND(#REF!,"AAAAAHj/+hU=")</f>
        <v>#REF!</v>
      </c>
      <c r="W32" t="e">
        <f>AND(#REF!,"AAAAAHj/+hY=")</f>
        <v>#REF!</v>
      </c>
      <c r="X32" t="e">
        <f>AND(#REF!,"AAAAAHj/+hc=")</f>
        <v>#REF!</v>
      </c>
      <c r="Y32" t="e">
        <f>AND(#REF!,"AAAAAHj/+hg=")</f>
        <v>#REF!</v>
      </c>
      <c r="Z32" t="e">
        <f>IF(#REF!,"AAAAAHj/+hk=",0)</f>
        <v>#REF!</v>
      </c>
      <c r="AA32" t="e">
        <f>AND(#REF!,"AAAAAHj/+ho=")</f>
        <v>#REF!</v>
      </c>
      <c r="AB32" t="e">
        <f>AND(#REF!,"AAAAAHj/+hs=")</f>
        <v>#REF!</v>
      </c>
      <c r="AC32" t="e">
        <f>AND(#REF!,"AAAAAHj/+hw=")</f>
        <v>#REF!</v>
      </c>
      <c r="AD32" t="e">
        <f>AND(#REF!,"AAAAAHj/+h0=")</f>
        <v>#REF!</v>
      </c>
      <c r="AE32" t="e">
        <f>AND(#REF!,"AAAAAHj/+h4=")</f>
        <v>#REF!</v>
      </c>
      <c r="AF32" t="e">
        <f>AND(#REF!,"AAAAAHj/+h8=")</f>
        <v>#REF!</v>
      </c>
      <c r="AG32" t="e">
        <f>AND(#REF!,"AAAAAHj/+iA=")</f>
        <v>#REF!</v>
      </c>
      <c r="AH32" t="e">
        <f>AND(#REF!,"AAAAAHj/+iE=")</f>
        <v>#REF!</v>
      </c>
      <c r="AI32" t="e">
        <f>AND(#REF!,"AAAAAHj/+iI=")</f>
        <v>#REF!</v>
      </c>
      <c r="AJ32" t="e">
        <f>AND(#REF!,"AAAAAHj/+iM=")</f>
        <v>#REF!</v>
      </c>
      <c r="AK32" t="e">
        <f>AND(#REF!,"AAAAAHj/+iQ=")</f>
        <v>#REF!</v>
      </c>
      <c r="AL32" t="e">
        <f>IF(#REF!,"AAAAAHj/+iU=",0)</f>
        <v>#REF!</v>
      </c>
      <c r="AM32" t="e">
        <f>AND(#REF!,"AAAAAHj/+iY=")</f>
        <v>#REF!</v>
      </c>
      <c r="AN32" t="e">
        <f>AND(#REF!,"AAAAAHj/+ic=")</f>
        <v>#REF!</v>
      </c>
      <c r="AO32" t="e">
        <f>AND(#REF!,"AAAAAHj/+ig=")</f>
        <v>#REF!</v>
      </c>
      <c r="AP32" t="e">
        <f>AND(#REF!,"AAAAAHj/+ik=")</f>
        <v>#REF!</v>
      </c>
      <c r="AQ32" t="e">
        <f>AND(#REF!,"AAAAAHj/+io=")</f>
        <v>#REF!</v>
      </c>
      <c r="AR32" t="e">
        <f>AND(#REF!,"AAAAAHj/+is=")</f>
        <v>#REF!</v>
      </c>
      <c r="AS32" t="e">
        <f>AND(#REF!,"AAAAAHj/+iw=")</f>
        <v>#REF!</v>
      </c>
      <c r="AT32" t="e">
        <f>AND(#REF!,"AAAAAHj/+i0=")</f>
        <v>#REF!</v>
      </c>
      <c r="AU32" t="e">
        <f>AND(#REF!,"AAAAAHj/+i4=")</f>
        <v>#REF!</v>
      </c>
      <c r="AV32" t="e">
        <f>AND(#REF!,"AAAAAHj/+i8=")</f>
        <v>#REF!</v>
      </c>
      <c r="AW32" t="e">
        <f>AND(#REF!,"AAAAAHj/+jA=")</f>
        <v>#REF!</v>
      </c>
      <c r="AX32" t="e">
        <f>IF(#REF!,"AAAAAHj/+jE=",0)</f>
        <v>#REF!</v>
      </c>
      <c r="AY32" t="e">
        <f>AND(#REF!,"AAAAAHj/+jI=")</f>
        <v>#REF!</v>
      </c>
      <c r="AZ32" t="e">
        <f>AND(#REF!,"AAAAAHj/+jM=")</f>
        <v>#REF!</v>
      </c>
      <c r="BA32" t="e">
        <f>AND(#REF!,"AAAAAHj/+jQ=")</f>
        <v>#REF!</v>
      </c>
      <c r="BB32" t="e">
        <f>AND(#REF!,"AAAAAHj/+jU=")</f>
        <v>#REF!</v>
      </c>
      <c r="BC32" t="e">
        <f>AND(#REF!,"AAAAAHj/+jY=")</f>
        <v>#REF!</v>
      </c>
      <c r="BD32" t="e">
        <f>AND(#REF!,"AAAAAHj/+jc=")</f>
        <v>#REF!</v>
      </c>
      <c r="BE32" t="e">
        <f>AND(#REF!,"AAAAAHj/+jg=")</f>
        <v>#REF!</v>
      </c>
      <c r="BF32" t="e">
        <f>AND(#REF!,"AAAAAHj/+jk=")</f>
        <v>#REF!</v>
      </c>
      <c r="BG32" t="e">
        <f>AND(#REF!,"AAAAAHj/+jo=")</f>
        <v>#REF!</v>
      </c>
      <c r="BH32" t="e">
        <f>AND(#REF!,"AAAAAHj/+js=")</f>
        <v>#REF!</v>
      </c>
      <c r="BI32" t="e">
        <f>AND(#REF!,"AAAAAHj/+jw=")</f>
        <v>#REF!</v>
      </c>
      <c r="BJ32" t="e">
        <f>IF(#REF!,"AAAAAHj/+j0=",0)</f>
        <v>#REF!</v>
      </c>
      <c r="BK32" t="e">
        <f>AND(#REF!,"AAAAAHj/+j4=")</f>
        <v>#REF!</v>
      </c>
      <c r="BL32" t="e">
        <f>AND(#REF!,"AAAAAHj/+j8=")</f>
        <v>#REF!</v>
      </c>
      <c r="BM32" t="e">
        <f>AND(#REF!,"AAAAAHj/+kA=")</f>
        <v>#REF!</v>
      </c>
      <c r="BN32" t="e">
        <f>AND(#REF!,"AAAAAHj/+kE=")</f>
        <v>#REF!</v>
      </c>
      <c r="BO32" t="e">
        <f>AND(#REF!,"AAAAAHj/+kI=")</f>
        <v>#REF!</v>
      </c>
      <c r="BP32" t="e">
        <f>AND(#REF!,"AAAAAHj/+kM=")</f>
        <v>#REF!</v>
      </c>
      <c r="BQ32" t="e">
        <f>AND(#REF!,"AAAAAHj/+kQ=")</f>
        <v>#REF!</v>
      </c>
      <c r="BR32" t="e">
        <f>AND(#REF!,"AAAAAHj/+kU=")</f>
        <v>#REF!</v>
      </c>
      <c r="BS32" t="e">
        <f>AND(#REF!,"AAAAAHj/+kY=")</f>
        <v>#REF!</v>
      </c>
      <c r="BT32" t="e">
        <f>AND(#REF!,"AAAAAHj/+kc=")</f>
        <v>#REF!</v>
      </c>
      <c r="BU32" t="e">
        <f>AND(#REF!,"AAAAAHj/+kg=")</f>
        <v>#REF!</v>
      </c>
      <c r="BV32" t="e">
        <f>IF(#REF!,"AAAAAHj/+kk=",0)</f>
        <v>#REF!</v>
      </c>
      <c r="BW32" t="e">
        <f>AND(#REF!,"AAAAAHj/+ko=")</f>
        <v>#REF!</v>
      </c>
      <c r="BX32" t="e">
        <f>AND(#REF!,"AAAAAHj/+ks=")</f>
        <v>#REF!</v>
      </c>
      <c r="BY32" t="e">
        <f>AND(#REF!,"AAAAAHj/+kw=")</f>
        <v>#REF!</v>
      </c>
      <c r="BZ32" t="e">
        <f>AND(#REF!,"AAAAAHj/+k0=")</f>
        <v>#REF!</v>
      </c>
      <c r="CA32" t="e">
        <f>AND(#REF!,"AAAAAHj/+k4=")</f>
        <v>#REF!</v>
      </c>
      <c r="CB32" t="e">
        <f>AND(#REF!,"AAAAAHj/+k8=")</f>
        <v>#REF!</v>
      </c>
      <c r="CC32" t="e">
        <f>AND(#REF!,"AAAAAHj/+lA=")</f>
        <v>#REF!</v>
      </c>
      <c r="CD32" t="e">
        <f>AND(#REF!,"AAAAAHj/+lE=")</f>
        <v>#REF!</v>
      </c>
      <c r="CE32" t="e">
        <f>AND(#REF!,"AAAAAHj/+lI=")</f>
        <v>#REF!</v>
      </c>
      <c r="CF32" t="e">
        <f>AND(#REF!,"AAAAAHj/+lM=")</f>
        <v>#REF!</v>
      </c>
      <c r="CG32" t="e">
        <f>AND(#REF!,"AAAAAHj/+lQ=")</f>
        <v>#REF!</v>
      </c>
      <c r="CH32" t="e">
        <f>IF(#REF!,"AAAAAHj/+lU=",0)</f>
        <v>#REF!</v>
      </c>
      <c r="CI32" t="e">
        <f>AND(#REF!,"AAAAAHj/+lY=")</f>
        <v>#REF!</v>
      </c>
      <c r="CJ32" t="e">
        <f>AND(#REF!,"AAAAAHj/+lc=")</f>
        <v>#REF!</v>
      </c>
      <c r="CK32" t="e">
        <f>AND(#REF!,"AAAAAHj/+lg=")</f>
        <v>#REF!</v>
      </c>
      <c r="CL32" t="e">
        <f>AND(#REF!,"AAAAAHj/+lk=")</f>
        <v>#REF!</v>
      </c>
      <c r="CM32" t="e">
        <f>AND(#REF!,"AAAAAHj/+lo=")</f>
        <v>#REF!</v>
      </c>
      <c r="CN32" t="e">
        <f>AND(#REF!,"AAAAAHj/+ls=")</f>
        <v>#REF!</v>
      </c>
      <c r="CO32" t="e">
        <f>AND(#REF!,"AAAAAHj/+lw=")</f>
        <v>#REF!</v>
      </c>
      <c r="CP32" t="e">
        <f>AND(#REF!,"AAAAAHj/+l0=")</f>
        <v>#REF!</v>
      </c>
      <c r="CQ32" t="e">
        <f>AND(#REF!,"AAAAAHj/+l4=")</f>
        <v>#REF!</v>
      </c>
      <c r="CR32" t="e">
        <f>AND(#REF!,"AAAAAHj/+l8=")</f>
        <v>#REF!</v>
      </c>
      <c r="CS32" t="e">
        <f>AND(#REF!,"AAAAAHj/+mA=")</f>
        <v>#REF!</v>
      </c>
      <c r="CT32" t="e">
        <f>IF(#REF!,"AAAAAHj/+mE=",0)</f>
        <v>#REF!</v>
      </c>
      <c r="CU32" t="e">
        <f>AND(#REF!,"AAAAAHj/+mI=")</f>
        <v>#REF!</v>
      </c>
      <c r="CV32" t="e">
        <f>AND(#REF!,"AAAAAHj/+mM=")</f>
        <v>#REF!</v>
      </c>
      <c r="CW32" t="e">
        <f>AND(#REF!,"AAAAAHj/+mQ=")</f>
        <v>#REF!</v>
      </c>
      <c r="CX32" t="e">
        <f>AND(#REF!,"AAAAAHj/+mU=")</f>
        <v>#REF!</v>
      </c>
      <c r="CY32" t="e">
        <f>AND(#REF!,"AAAAAHj/+mY=")</f>
        <v>#REF!</v>
      </c>
      <c r="CZ32" t="e">
        <f>AND(#REF!,"AAAAAHj/+mc=")</f>
        <v>#REF!</v>
      </c>
      <c r="DA32" t="e">
        <f>AND(#REF!,"AAAAAHj/+mg=")</f>
        <v>#REF!</v>
      </c>
      <c r="DB32" t="e">
        <f>AND(#REF!,"AAAAAHj/+mk=")</f>
        <v>#REF!</v>
      </c>
      <c r="DC32" t="e">
        <f>AND(#REF!,"AAAAAHj/+mo=")</f>
        <v>#REF!</v>
      </c>
      <c r="DD32" t="e">
        <f>AND(#REF!,"AAAAAHj/+ms=")</f>
        <v>#REF!</v>
      </c>
      <c r="DE32" t="e">
        <f>AND(#REF!,"AAAAAHj/+mw=")</f>
        <v>#REF!</v>
      </c>
      <c r="DF32" t="e">
        <f>IF(#REF!,"AAAAAHj/+m0=",0)</f>
        <v>#REF!</v>
      </c>
      <c r="DG32" t="e">
        <f>AND(#REF!,"AAAAAHj/+m4=")</f>
        <v>#REF!</v>
      </c>
      <c r="DH32" t="e">
        <f>AND(#REF!,"AAAAAHj/+m8=")</f>
        <v>#REF!</v>
      </c>
      <c r="DI32" t="e">
        <f>AND(#REF!,"AAAAAHj/+nA=")</f>
        <v>#REF!</v>
      </c>
      <c r="DJ32" t="e">
        <f>AND(#REF!,"AAAAAHj/+nE=")</f>
        <v>#REF!</v>
      </c>
      <c r="DK32" t="e">
        <f>AND(#REF!,"AAAAAHj/+nI=")</f>
        <v>#REF!</v>
      </c>
      <c r="DL32" t="e">
        <f>AND(#REF!,"AAAAAHj/+nM=")</f>
        <v>#REF!</v>
      </c>
      <c r="DM32" t="e">
        <f>AND(#REF!,"AAAAAHj/+nQ=")</f>
        <v>#REF!</v>
      </c>
      <c r="DN32" t="e">
        <f>AND(#REF!,"AAAAAHj/+nU=")</f>
        <v>#REF!</v>
      </c>
      <c r="DO32" t="e">
        <f>AND(#REF!,"AAAAAHj/+nY=")</f>
        <v>#REF!</v>
      </c>
      <c r="DP32" t="e">
        <f>AND(#REF!,"AAAAAHj/+nc=")</f>
        <v>#REF!</v>
      </c>
      <c r="DQ32" t="e">
        <f>AND(#REF!,"AAAAAHj/+ng=")</f>
        <v>#REF!</v>
      </c>
      <c r="DR32" t="e">
        <f>IF(#REF!,"AAAAAHj/+nk=",0)</f>
        <v>#REF!</v>
      </c>
      <c r="DS32" t="e">
        <f>AND(#REF!,"AAAAAHj/+no=")</f>
        <v>#REF!</v>
      </c>
      <c r="DT32" t="e">
        <f>AND(#REF!,"AAAAAHj/+ns=")</f>
        <v>#REF!</v>
      </c>
      <c r="DU32" t="e">
        <f>AND(#REF!,"AAAAAHj/+nw=")</f>
        <v>#REF!</v>
      </c>
      <c r="DV32" t="e">
        <f>AND(#REF!,"AAAAAHj/+n0=")</f>
        <v>#REF!</v>
      </c>
      <c r="DW32" t="e">
        <f>AND(#REF!,"AAAAAHj/+n4=")</f>
        <v>#REF!</v>
      </c>
      <c r="DX32" t="e">
        <f>AND(#REF!,"AAAAAHj/+n8=")</f>
        <v>#REF!</v>
      </c>
      <c r="DY32" t="e">
        <f>AND(#REF!,"AAAAAHj/+oA=")</f>
        <v>#REF!</v>
      </c>
      <c r="DZ32" t="e">
        <f>AND(#REF!,"AAAAAHj/+oE=")</f>
        <v>#REF!</v>
      </c>
      <c r="EA32" t="e">
        <f>AND(#REF!,"AAAAAHj/+oI=")</f>
        <v>#REF!</v>
      </c>
      <c r="EB32" t="e">
        <f>AND(#REF!,"AAAAAHj/+oM=")</f>
        <v>#REF!</v>
      </c>
      <c r="EC32" t="e">
        <f>AND(#REF!,"AAAAAHj/+oQ=")</f>
        <v>#REF!</v>
      </c>
      <c r="ED32" t="e">
        <f>IF(#REF!,"AAAAAHj/+oU=",0)</f>
        <v>#REF!</v>
      </c>
      <c r="EE32" t="e">
        <f>AND(#REF!,"AAAAAHj/+oY=")</f>
        <v>#REF!</v>
      </c>
      <c r="EF32" t="e">
        <f>AND(#REF!,"AAAAAHj/+oc=")</f>
        <v>#REF!</v>
      </c>
      <c r="EG32" t="e">
        <f>AND(#REF!,"AAAAAHj/+og=")</f>
        <v>#REF!</v>
      </c>
      <c r="EH32" t="e">
        <f>AND(#REF!,"AAAAAHj/+ok=")</f>
        <v>#REF!</v>
      </c>
      <c r="EI32" t="e">
        <f>AND(#REF!,"AAAAAHj/+oo=")</f>
        <v>#REF!</v>
      </c>
      <c r="EJ32" t="e">
        <f>AND(#REF!,"AAAAAHj/+os=")</f>
        <v>#REF!</v>
      </c>
      <c r="EK32" t="e">
        <f>AND(#REF!,"AAAAAHj/+ow=")</f>
        <v>#REF!</v>
      </c>
      <c r="EL32" t="e">
        <f>AND(#REF!,"AAAAAHj/+o0=")</f>
        <v>#REF!</v>
      </c>
      <c r="EM32" t="e">
        <f>AND(#REF!,"AAAAAHj/+o4=")</f>
        <v>#REF!</v>
      </c>
      <c r="EN32" t="e">
        <f>AND(#REF!,"AAAAAHj/+o8=")</f>
        <v>#REF!</v>
      </c>
      <c r="EO32" t="e">
        <f>AND(#REF!,"AAAAAHj/+pA=")</f>
        <v>#REF!</v>
      </c>
      <c r="EP32" t="e">
        <f>IF(#REF!,"AAAAAHj/+pE=",0)</f>
        <v>#REF!</v>
      </c>
      <c r="EQ32" t="e">
        <f>AND(#REF!,"AAAAAHj/+pI=")</f>
        <v>#REF!</v>
      </c>
      <c r="ER32" t="e">
        <f>AND(#REF!,"AAAAAHj/+pM=")</f>
        <v>#REF!</v>
      </c>
      <c r="ES32" t="e">
        <f>AND(#REF!,"AAAAAHj/+pQ=")</f>
        <v>#REF!</v>
      </c>
      <c r="ET32" t="e">
        <f>AND(#REF!,"AAAAAHj/+pU=")</f>
        <v>#REF!</v>
      </c>
      <c r="EU32" t="e">
        <f>AND(#REF!,"AAAAAHj/+pY=")</f>
        <v>#REF!</v>
      </c>
      <c r="EV32" t="e">
        <f>AND(#REF!,"AAAAAHj/+pc=")</f>
        <v>#REF!</v>
      </c>
      <c r="EW32" t="e">
        <f>AND(#REF!,"AAAAAHj/+pg=")</f>
        <v>#REF!</v>
      </c>
      <c r="EX32" t="e">
        <f>AND(#REF!,"AAAAAHj/+pk=")</f>
        <v>#REF!</v>
      </c>
      <c r="EY32" t="e">
        <f>AND(#REF!,"AAAAAHj/+po=")</f>
        <v>#REF!</v>
      </c>
      <c r="EZ32" t="e">
        <f>AND(#REF!,"AAAAAHj/+ps=")</f>
        <v>#REF!</v>
      </c>
      <c r="FA32" t="e">
        <f>AND(#REF!,"AAAAAHj/+pw=")</f>
        <v>#REF!</v>
      </c>
      <c r="FB32" t="e">
        <f>IF(#REF!,"AAAAAHj/+p0=",0)</f>
        <v>#REF!</v>
      </c>
      <c r="FC32" t="e">
        <f>AND(#REF!,"AAAAAHj/+p4=")</f>
        <v>#REF!</v>
      </c>
      <c r="FD32" t="e">
        <f>AND(#REF!,"AAAAAHj/+p8=")</f>
        <v>#REF!</v>
      </c>
      <c r="FE32" t="e">
        <f>AND(#REF!,"AAAAAHj/+qA=")</f>
        <v>#REF!</v>
      </c>
      <c r="FF32" t="e">
        <f>AND(#REF!,"AAAAAHj/+qE=")</f>
        <v>#REF!</v>
      </c>
      <c r="FG32" t="e">
        <f>AND(#REF!,"AAAAAHj/+qI=")</f>
        <v>#REF!</v>
      </c>
      <c r="FH32" t="e">
        <f>AND(#REF!,"AAAAAHj/+qM=")</f>
        <v>#REF!</v>
      </c>
      <c r="FI32" t="e">
        <f>AND(#REF!,"AAAAAHj/+qQ=")</f>
        <v>#REF!</v>
      </c>
      <c r="FJ32" t="e">
        <f>AND(#REF!,"AAAAAHj/+qU=")</f>
        <v>#REF!</v>
      </c>
      <c r="FK32" t="e">
        <f>AND(#REF!,"AAAAAHj/+qY=")</f>
        <v>#REF!</v>
      </c>
      <c r="FL32" t="e">
        <f>AND(#REF!,"AAAAAHj/+qc=")</f>
        <v>#REF!</v>
      </c>
      <c r="FM32" t="e">
        <f>AND(#REF!,"AAAAAHj/+qg=")</f>
        <v>#REF!</v>
      </c>
      <c r="FN32" t="e">
        <f>IF(#REF!,"AAAAAHj/+qk=",0)</f>
        <v>#REF!</v>
      </c>
      <c r="FO32" t="e">
        <f>AND(#REF!,"AAAAAHj/+qo=")</f>
        <v>#REF!</v>
      </c>
      <c r="FP32" t="e">
        <f>AND(#REF!,"AAAAAHj/+qs=")</f>
        <v>#REF!</v>
      </c>
      <c r="FQ32" t="e">
        <f>AND(#REF!,"AAAAAHj/+qw=")</f>
        <v>#REF!</v>
      </c>
      <c r="FR32" t="e">
        <f>AND(#REF!,"AAAAAHj/+q0=")</f>
        <v>#REF!</v>
      </c>
      <c r="FS32" t="e">
        <f>AND(#REF!,"AAAAAHj/+q4=")</f>
        <v>#REF!</v>
      </c>
      <c r="FT32" t="e">
        <f>AND(#REF!,"AAAAAHj/+q8=")</f>
        <v>#REF!</v>
      </c>
      <c r="FU32" t="e">
        <f>AND(#REF!,"AAAAAHj/+rA=")</f>
        <v>#REF!</v>
      </c>
      <c r="FV32" t="e">
        <f>AND(#REF!,"AAAAAHj/+rE=")</f>
        <v>#REF!</v>
      </c>
      <c r="FW32" t="e">
        <f>AND(#REF!,"AAAAAHj/+rI=")</f>
        <v>#REF!</v>
      </c>
      <c r="FX32" t="e">
        <f>AND(#REF!,"AAAAAHj/+rM=")</f>
        <v>#REF!</v>
      </c>
      <c r="FY32" t="e">
        <f>AND(#REF!,"AAAAAHj/+rQ=")</f>
        <v>#REF!</v>
      </c>
      <c r="FZ32" t="e">
        <f>IF(#REF!,"AAAAAHj/+rU=",0)</f>
        <v>#REF!</v>
      </c>
      <c r="GA32" t="e">
        <f>AND(#REF!,"AAAAAHj/+rY=")</f>
        <v>#REF!</v>
      </c>
      <c r="GB32" t="e">
        <f>AND(#REF!,"AAAAAHj/+rc=")</f>
        <v>#REF!</v>
      </c>
      <c r="GC32" t="e">
        <f>AND(#REF!,"AAAAAHj/+rg=")</f>
        <v>#REF!</v>
      </c>
      <c r="GD32" t="e">
        <f>AND(#REF!,"AAAAAHj/+rk=")</f>
        <v>#REF!</v>
      </c>
      <c r="GE32" t="e">
        <f>AND(#REF!,"AAAAAHj/+ro=")</f>
        <v>#REF!</v>
      </c>
      <c r="GF32" t="e">
        <f>AND(#REF!,"AAAAAHj/+rs=")</f>
        <v>#REF!</v>
      </c>
      <c r="GG32" t="e">
        <f>AND(#REF!,"AAAAAHj/+rw=")</f>
        <v>#REF!</v>
      </c>
      <c r="GH32" t="e">
        <f>AND(#REF!,"AAAAAHj/+r0=")</f>
        <v>#REF!</v>
      </c>
      <c r="GI32" t="e">
        <f>AND(#REF!,"AAAAAHj/+r4=")</f>
        <v>#REF!</v>
      </c>
      <c r="GJ32" t="e">
        <f>AND(#REF!,"AAAAAHj/+r8=")</f>
        <v>#REF!</v>
      </c>
      <c r="GK32" t="e">
        <f>AND(#REF!,"AAAAAHj/+sA=")</f>
        <v>#REF!</v>
      </c>
      <c r="GL32" t="e">
        <f>IF(#REF!,"AAAAAHj/+sE=",0)</f>
        <v>#REF!</v>
      </c>
      <c r="GM32" t="e">
        <f>AND(#REF!,"AAAAAHj/+sI=")</f>
        <v>#REF!</v>
      </c>
      <c r="GN32" t="e">
        <f>AND(#REF!,"AAAAAHj/+sM=")</f>
        <v>#REF!</v>
      </c>
      <c r="GO32" t="e">
        <f>AND(#REF!,"AAAAAHj/+sQ=")</f>
        <v>#REF!</v>
      </c>
      <c r="GP32" t="e">
        <f>AND(#REF!,"AAAAAHj/+sU=")</f>
        <v>#REF!</v>
      </c>
      <c r="GQ32" t="e">
        <f>AND(#REF!,"AAAAAHj/+sY=")</f>
        <v>#REF!</v>
      </c>
      <c r="GR32" t="e">
        <f>AND(#REF!,"AAAAAHj/+sc=")</f>
        <v>#REF!</v>
      </c>
      <c r="GS32" t="e">
        <f>AND(#REF!,"AAAAAHj/+sg=")</f>
        <v>#REF!</v>
      </c>
      <c r="GT32" t="e">
        <f>AND(#REF!,"AAAAAHj/+sk=")</f>
        <v>#REF!</v>
      </c>
      <c r="GU32" t="e">
        <f>AND(#REF!,"AAAAAHj/+so=")</f>
        <v>#REF!</v>
      </c>
      <c r="GV32" t="e">
        <f>AND(#REF!,"AAAAAHj/+ss=")</f>
        <v>#REF!</v>
      </c>
      <c r="GW32" t="e">
        <f>AND(#REF!,"AAAAAHj/+sw=")</f>
        <v>#REF!</v>
      </c>
      <c r="GX32" t="e">
        <f>IF(#REF!,"AAAAAHj/+s0=",0)</f>
        <v>#REF!</v>
      </c>
      <c r="GY32" t="e">
        <f>AND(#REF!,"AAAAAHj/+s4=")</f>
        <v>#REF!</v>
      </c>
      <c r="GZ32" t="e">
        <f>AND(#REF!,"AAAAAHj/+s8=")</f>
        <v>#REF!</v>
      </c>
      <c r="HA32" t="e">
        <f>AND(#REF!,"AAAAAHj/+tA=")</f>
        <v>#REF!</v>
      </c>
      <c r="HB32" t="e">
        <f>AND(#REF!,"AAAAAHj/+tE=")</f>
        <v>#REF!</v>
      </c>
      <c r="HC32" t="e">
        <f>AND(#REF!,"AAAAAHj/+tI=")</f>
        <v>#REF!</v>
      </c>
      <c r="HD32" t="e">
        <f>AND(#REF!,"AAAAAHj/+tM=")</f>
        <v>#REF!</v>
      </c>
      <c r="HE32" t="e">
        <f>AND(#REF!,"AAAAAHj/+tQ=")</f>
        <v>#REF!</v>
      </c>
      <c r="HF32" t="e">
        <f>AND(#REF!,"AAAAAHj/+tU=")</f>
        <v>#REF!</v>
      </c>
      <c r="HG32" t="e">
        <f>AND(#REF!,"AAAAAHj/+tY=")</f>
        <v>#REF!</v>
      </c>
      <c r="HH32" t="e">
        <f>AND(#REF!,"AAAAAHj/+tc=")</f>
        <v>#REF!</v>
      </c>
      <c r="HI32" t="e">
        <f>AND(#REF!,"AAAAAHj/+tg=")</f>
        <v>#REF!</v>
      </c>
      <c r="HJ32" t="e">
        <f>IF(#REF!,"AAAAAHj/+tk=",0)</f>
        <v>#REF!</v>
      </c>
      <c r="HK32" t="e">
        <f>AND(#REF!,"AAAAAHj/+to=")</f>
        <v>#REF!</v>
      </c>
      <c r="HL32" t="e">
        <f>AND(#REF!,"AAAAAHj/+ts=")</f>
        <v>#REF!</v>
      </c>
      <c r="HM32" t="e">
        <f>AND(#REF!,"AAAAAHj/+tw=")</f>
        <v>#REF!</v>
      </c>
      <c r="HN32" t="e">
        <f>AND(#REF!,"AAAAAHj/+t0=")</f>
        <v>#REF!</v>
      </c>
      <c r="HO32" t="e">
        <f>AND(#REF!,"AAAAAHj/+t4=")</f>
        <v>#REF!</v>
      </c>
      <c r="HP32" t="e">
        <f>AND(#REF!,"AAAAAHj/+t8=")</f>
        <v>#REF!</v>
      </c>
      <c r="HQ32" t="e">
        <f>IF(#REF!,"AAAAAHj/+uA=",0)</f>
        <v>#REF!</v>
      </c>
      <c r="HR32" t="e">
        <f>AND(#REF!,"AAAAAHj/+uE=")</f>
        <v>#REF!</v>
      </c>
      <c r="HS32" t="e">
        <f>AND(#REF!,"AAAAAHj/+uI=")</f>
        <v>#REF!</v>
      </c>
      <c r="HT32" t="e">
        <f>AND(#REF!,"AAAAAHj/+uM=")</f>
        <v>#REF!</v>
      </c>
      <c r="HU32" t="e">
        <f>AND(#REF!,"AAAAAHj/+uQ=")</f>
        <v>#REF!</v>
      </c>
      <c r="HV32" t="e">
        <f>AND(#REF!,"AAAAAHj/+uU=")</f>
        <v>#REF!</v>
      </c>
      <c r="HW32" t="e">
        <f>AND(#REF!,"AAAAAHj/+uY=")</f>
        <v>#REF!</v>
      </c>
      <c r="HX32" t="e">
        <f>IF(#REF!,"AAAAAHj/+uc=",0)</f>
        <v>#REF!</v>
      </c>
      <c r="HY32" t="e">
        <f>AND(#REF!,"AAAAAHj/+ug=")</f>
        <v>#REF!</v>
      </c>
      <c r="HZ32" t="e">
        <f>AND(#REF!,"AAAAAHj/+uk=")</f>
        <v>#REF!</v>
      </c>
      <c r="IA32" t="e">
        <f>AND(#REF!,"AAAAAHj/+uo=")</f>
        <v>#REF!</v>
      </c>
      <c r="IB32" t="e">
        <f>AND(#REF!,"AAAAAHj/+us=")</f>
        <v>#REF!</v>
      </c>
      <c r="IC32" t="e">
        <f>AND(#REF!,"AAAAAHj/+uw=")</f>
        <v>#REF!</v>
      </c>
      <c r="ID32" t="e">
        <f>AND(#REF!,"AAAAAHj/+u0=")</f>
        <v>#REF!</v>
      </c>
      <c r="IE32" t="e">
        <f>IF(#REF!,"AAAAAHj/+u4=",0)</f>
        <v>#REF!</v>
      </c>
      <c r="IF32" t="e">
        <f>AND(#REF!,"AAAAAHj/+u8=")</f>
        <v>#REF!</v>
      </c>
      <c r="IG32" t="e">
        <f>AND(#REF!,"AAAAAHj/+vA=")</f>
        <v>#REF!</v>
      </c>
      <c r="IH32" t="e">
        <f>AND(#REF!,"AAAAAHj/+vE=")</f>
        <v>#REF!</v>
      </c>
      <c r="II32" t="e">
        <f>AND(#REF!,"AAAAAHj/+vI=")</f>
        <v>#REF!</v>
      </c>
      <c r="IJ32" t="e">
        <f>AND(#REF!,"AAAAAHj/+vM=")</f>
        <v>#REF!</v>
      </c>
      <c r="IK32" t="e">
        <f>AND(#REF!,"AAAAAHj/+vQ=")</f>
        <v>#REF!</v>
      </c>
      <c r="IL32" t="e">
        <f>IF(#REF!,"AAAAAHj/+vU=",0)</f>
        <v>#REF!</v>
      </c>
      <c r="IM32" t="e">
        <f>IF(#REF!,"AAAAAHj/+vY=",0)</f>
        <v>#REF!</v>
      </c>
      <c r="IN32" t="e">
        <f>IF(#REF!,"AAAAAHj/+vc=",0)</f>
        <v>#REF!</v>
      </c>
      <c r="IO32" t="e">
        <f>IF(#REF!,"AAAAAHj/+vg=",0)</f>
        <v>#REF!</v>
      </c>
      <c r="IP32" t="e">
        <f>IF(#REF!,"AAAAAHj/+vk=",0)</f>
        <v>#REF!</v>
      </c>
      <c r="IQ32" t="e">
        <f>IF(#REF!,"AAAAAHj/+vo=",0)</f>
        <v>#REF!</v>
      </c>
      <c r="IR32" t="e">
        <f>IF(#REF!,"AAAAAHj/+vs=",0)</f>
        <v>#REF!</v>
      </c>
      <c r="IS32" t="e">
        <f>IF(#REF!,"AAAAAHj/+vw=",0)</f>
        <v>#REF!</v>
      </c>
      <c r="IT32" t="e">
        <f>IF(#REF!,"AAAAAHj/+v0=",0)</f>
        <v>#REF!</v>
      </c>
      <c r="IU32" t="e">
        <f>IF(#REF!,"AAAAAHj/+v4=",0)</f>
        <v>#REF!</v>
      </c>
      <c r="IV32" t="e">
        <f>IF(#REF!,"AAAAAHj/+v8=",0)</f>
        <v>#REF!</v>
      </c>
    </row>
    <row r="33" spans="1:256">
      <c r="A33" t="e">
        <f>IF(#REF!,"AAAAAH21lAA=",0)</f>
        <v>#REF!</v>
      </c>
      <c r="B33" t="e">
        <f>AND(#REF!,"AAAAAH21lAE=")</f>
        <v>#REF!</v>
      </c>
      <c r="C33" t="e">
        <f>AND(#REF!,"AAAAAH21lAI=")</f>
        <v>#REF!</v>
      </c>
      <c r="D33" t="e">
        <f>AND(#REF!,"AAAAAH21lAM=")</f>
        <v>#REF!</v>
      </c>
      <c r="E33" t="e">
        <f>AND(#REF!,"AAAAAH21lAQ=")</f>
        <v>#REF!</v>
      </c>
      <c r="F33" t="e">
        <f>AND(#REF!,"AAAAAH21lAU=")</f>
        <v>#REF!</v>
      </c>
      <c r="G33" t="e">
        <f>AND(#REF!,"AAAAAH21lAY=")</f>
        <v>#REF!</v>
      </c>
      <c r="H33" t="e">
        <f>AND(#REF!,"AAAAAH21lAc=")</f>
        <v>#REF!</v>
      </c>
      <c r="I33" t="e">
        <f>AND(#REF!,"AAAAAH21lAg=")</f>
        <v>#REF!</v>
      </c>
      <c r="J33" t="e">
        <f>AND(#REF!,"AAAAAH21lAk=")</f>
        <v>#REF!</v>
      </c>
      <c r="K33" t="e">
        <f>AND(#REF!,"AAAAAH21lAo=")</f>
        <v>#REF!</v>
      </c>
      <c r="L33" t="e">
        <f>IF(#REF!,"AAAAAH21lAs=",0)</f>
        <v>#REF!</v>
      </c>
      <c r="M33" t="e">
        <f>AND(#REF!,"AAAAAH21lAw=")</f>
        <v>#REF!</v>
      </c>
      <c r="N33" t="e">
        <f>AND(#REF!,"AAAAAH21lA0=")</f>
        <v>#REF!</v>
      </c>
      <c r="O33" t="e">
        <f>AND(#REF!,"AAAAAH21lA4=")</f>
        <v>#REF!</v>
      </c>
      <c r="P33" t="e">
        <f>AND(#REF!,"AAAAAH21lA8=")</f>
        <v>#REF!</v>
      </c>
      <c r="Q33" t="e">
        <f>AND(#REF!,"AAAAAH21lBA=")</f>
        <v>#REF!</v>
      </c>
      <c r="R33" t="e">
        <f>AND(#REF!,"AAAAAH21lBE=")</f>
        <v>#REF!</v>
      </c>
      <c r="S33" t="e">
        <f>AND(#REF!,"AAAAAH21lBI=")</f>
        <v>#REF!</v>
      </c>
      <c r="T33" t="e">
        <f>AND(#REF!,"AAAAAH21lBM=")</f>
        <v>#REF!</v>
      </c>
      <c r="U33" t="e">
        <f>AND(#REF!,"AAAAAH21lBQ=")</f>
        <v>#REF!</v>
      </c>
      <c r="V33" t="e">
        <f>AND(#REF!,"AAAAAH21lBU=")</f>
        <v>#REF!</v>
      </c>
      <c r="W33" t="e">
        <f>IF(#REF!,"AAAAAH21lBY=",0)</f>
        <v>#REF!</v>
      </c>
      <c r="X33" t="e">
        <f>AND(#REF!,"AAAAAH21lBc=")</f>
        <v>#REF!</v>
      </c>
      <c r="Y33" t="e">
        <f>AND(#REF!,"AAAAAH21lBg=")</f>
        <v>#REF!</v>
      </c>
      <c r="Z33" t="e">
        <f>AND(#REF!,"AAAAAH21lBk=")</f>
        <v>#REF!</v>
      </c>
      <c r="AA33" t="e">
        <f>AND(#REF!,"AAAAAH21lBo=")</f>
        <v>#REF!</v>
      </c>
      <c r="AB33" t="e">
        <f>AND(#REF!,"AAAAAH21lBs=")</f>
        <v>#REF!</v>
      </c>
      <c r="AC33" t="e">
        <f>AND(#REF!,"AAAAAH21lBw=")</f>
        <v>#REF!</v>
      </c>
      <c r="AD33" t="e">
        <f>AND(#REF!,"AAAAAH21lB0=")</f>
        <v>#REF!</v>
      </c>
      <c r="AE33" t="e">
        <f>AND(#REF!,"AAAAAH21lB4=")</f>
        <v>#REF!</v>
      </c>
      <c r="AF33" t="e">
        <f>AND(#REF!,"AAAAAH21lB8=")</f>
        <v>#REF!</v>
      </c>
      <c r="AG33" t="e">
        <f>AND(#REF!,"AAAAAH21lCA=")</f>
        <v>#REF!</v>
      </c>
      <c r="AH33" t="e">
        <f>IF(#REF!,"AAAAAH21lCE=",0)</f>
        <v>#REF!</v>
      </c>
      <c r="AI33" t="e">
        <f>AND(#REF!,"AAAAAH21lCI=")</f>
        <v>#REF!</v>
      </c>
      <c r="AJ33" t="e">
        <f>AND(#REF!,"AAAAAH21lCM=")</f>
        <v>#REF!</v>
      </c>
      <c r="AK33" t="e">
        <f>AND(#REF!,"AAAAAH21lCQ=")</f>
        <v>#REF!</v>
      </c>
      <c r="AL33" t="e">
        <f>AND(#REF!,"AAAAAH21lCU=")</f>
        <v>#REF!</v>
      </c>
      <c r="AM33" t="e">
        <f>AND(#REF!,"AAAAAH21lCY=")</f>
        <v>#REF!</v>
      </c>
      <c r="AN33" t="e">
        <f>AND(#REF!,"AAAAAH21lCc=")</f>
        <v>#REF!</v>
      </c>
      <c r="AO33" t="e">
        <f>AND(#REF!,"AAAAAH21lCg=")</f>
        <v>#REF!</v>
      </c>
      <c r="AP33" t="e">
        <f>AND(#REF!,"AAAAAH21lCk=")</f>
        <v>#REF!</v>
      </c>
      <c r="AQ33" t="e">
        <f>AND(#REF!,"AAAAAH21lCo=")</f>
        <v>#REF!</v>
      </c>
      <c r="AR33" t="e">
        <f>AND(#REF!,"AAAAAH21lCs=")</f>
        <v>#REF!</v>
      </c>
      <c r="AS33" t="e">
        <f>IF(#REF!,"AAAAAH21lCw=",0)</f>
        <v>#REF!</v>
      </c>
      <c r="AT33" t="e">
        <f>AND(#REF!,"AAAAAH21lC0=")</f>
        <v>#REF!</v>
      </c>
      <c r="AU33" t="e">
        <f>AND(#REF!,"AAAAAH21lC4=")</f>
        <v>#REF!</v>
      </c>
      <c r="AV33" t="e">
        <f>AND(#REF!,"AAAAAH21lC8=")</f>
        <v>#REF!</v>
      </c>
      <c r="AW33" t="e">
        <f>AND(#REF!,"AAAAAH21lDA=")</f>
        <v>#REF!</v>
      </c>
      <c r="AX33" t="e">
        <f>AND(#REF!,"AAAAAH21lDE=")</f>
        <v>#REF!</v>
      </c>
      <c r="AY33" t="e">
        <f>AND(#REF!,"AAAAAH21lDI=")</f>
        <v>#REF!</v>
      </c>
      <c r="AZ33" t="e">
        <f>AND(#REF!,"AAAAAH21lDM=")</f>
        <v>#REF!</v>
      </c>
      <c r="BA33" t="e">
        <f>AND(#REF!,"AAAAAH21lDQ=")</f>
        <v>#REF!</v>
      </c>
      <c r="BB33" t="e">
        <f>AND(#REF!,"AAAAAH21lDU=")</f>
        <v>#REF!</v>
      </c>
      <c r="BC33" t="e">
        <f>AND(#REF!,"AAAAAH21lDY=")</f>
        <v>#REF!</v>
      </c>
      <c r="BD33" t="e">
        <f>IF(#REF!,"AAAAAH21lDc=",0)</f>
        <v>#REF!</v>
      </c>
      <c r="BE33" t="e">
        <f>AND(#REF!,"AAAAAH21lDg=")</f>
        <v>#REF!</v>
      </c>
      <c r="BF33" t="e">
        <f>AND(#REF!,"AAAAAH21lDk=")</f>
        <v>#REF!</v>
      </c>
      <c r="BG33" t="e">
        <f>AND(#REF!,"AAAAAH21lDo=")</f>
        <v>#REF!</v>
      </c>
      <c r="BH33" t="e">
        <f>AND(#REF!,"AAAAAH21lDs=")</f>
        <v>#REF!</v>
      </c>
      <c r="BI33" t="e">
        <f>AND(#REF!,"AAAAAH21lDw=")</f>
        <v>#REF!</v>
      </c>
      <c r="BJ33" t="e">
        <f>AND(#REF!,"AAAAAH21lD0=")</f>
        <v>#REF!</v>
      </c>
      <c r="BK33" t="e">
        <f>AND(#REF!,"AAAAAH21lD4=")</f>
        <v>#REF!</v>
      </c>
      <c r="BL33" t="e">
        <f>AND(#REF!,"AAAAAH21lD8=")</f>
        <v>#REF!</v>
      </c>
      <c r="BM33" t="e">
        <f>AND(#REF!,"AAAAAH21lEA=")</f>
        <v>#REF!</v>
      </c>
      <c r="BN33" t="e">
        <f>AND(#REF!,"AAAAAH21lEE=")</f>
        <v>#REF!</v>
      </c>
      <c r="BO33" t="e">
        <f>IF(#REF!,"AAAAAH21lEI=",0)</f>
        <v>#REF!</v>
      </c>
      <c r="BP33" t="e">
        <f>AND(#REF!,"AAAAAH21lEM=")</f>
        <v>#REF!</v>
      </c>
      <c r="BQ33" t="e">
        <f>AND(#REF!,"AAAAAH21lEQ=")</f>
        <v>#REF!</v>
      </c>
      <c r="BR33" t="e">
        <f>AND(#REF!,"AAAAAH21lEU=")</f>
        <v>#REF!</v>
      </c>
      <c r="BS33" t="e">
        <f>AND(#REF!,"AAAAAH21lEY=")</f>
        <v>#REF!</v>
      </c>
      <c r="BT33" t="e">
        <f>AND(#REF!,"AAAAAH21lEc=")</f>
        <v>#REF!</v>
      </c>
      <c r="BU33" t="e">
        <f>AND(#REF!,"AAAAAH21lEg=")</f>
        <v>#REF!</v>
      </c>
      <c r="BV33" t="e">
        <f>AND(#REF!,"AAAAAH21lEk=")</f>
        <v>#REF!</v>
      </c>
      <c r="BW33" t="e">
        <f>AND(#REF!,"AAAAAH21lEo=")</f>
        <v>#REF!</v>
      </c>
      <c r="BX33" t="e">
        <f>AND(#REF!,"AAAAAH21lEs=")</f>
        <v>#REF!</v>
      </c>
      <c r="BY33" t="e">
        <f>AND(#REF!,"AAAAAH21lEw=")</f>
        <v>#REF!</v>
      </c>
      <c r="BZ33" t="e">
        <f>IF(#REF!,"AAAAAH21lE0=",0)</f>
        <v>#REF!</v>
      </c>
      <c r="CA33" t="e">
        <f>AND(#REF!,"AAAAAH21lE4=")</f>
        <v>#REF!</v>
      </c>
      <c r="CB33" t="e">
        <f>AND(#REF!,"AAAAAH21lE8=")</f>
        <v>#REF!</v>
      </c>
      <c r="CC33" t="e">
        <f>AND(#REF!,"AAAAAH21lFA=")</f>
        <v>#REF!</v>
      </c>
      <c r="CD33" t="e">
        <f>AND(#REF!,"AAAAAH21lFE=")</f>
        <v>#REF!</v>
      </c>
      <c r="CE33" t="e">
        <f>AND(#REF!,"AAAAAH21lFI=")</f>
        <v>#REF!</v>
      </c>
      <c r="CF33" t="e">
        <f>AND(#REF!,"AAAAAH21lFM=")</f>
        <v>#REF!</v>
      </c>
      <c r="CG33" t="e">
        <f>AND(#REF!,"AAAAAH21lFQ=")</f>
        <v>#REF!</v>
      </c>
      <c r="CH33" t="e">
        <f>AND(#REF!,"AAAAAH21lFU=")</f>
        <v>#REF!</v>
      </c>
      <c r="CI33" t="e">
        <f>AND(#REF!,"AAAAAH21lFY=")</f>
        <v>#REF!</v>
      </c>
      <c r="CJ33" t="e">
        <f>AND(#REF!,"AAAAAH21lFc=")</f>
        <v>#REF!</v>
      </c>
      <c r="CK33" t="e">
        <f>IF(#REF!,"AAAAAH21lFg=",0)</f>
        <v>#REF!</v>
      </c>
      <c r="CL33" t="e">
        <f>AND(#REF!,"AAAAAH21lFk=")</f>
        <v>#REF!</v>
      </c>
      <c r="CM33" t="e">
        <f>AND(#REF!,"AAAAAH21lFo=")</f>
        <v>#REF!</v>
      </c>
      <c r="CN33" t="e">
        <f>AND(#REF!,"AAAAAH21lFs=")</f>
        <v>#REF!</v>
      </c>
      <c r="CO33" t="e">
        <f>AND(#REF!,"AAAAAH21lFw=")</f>
        <v>#REF!</v>
      </c>
      <c r="CP33" t="e">
        <f>AND(#REF!,"AAAAAH21lF0=")</f>
        <v>#REF!</v>
      </c>
      <c r="CQ33" t="e">
        <f>AND(#REF!,"AAAAAH21lF4=")</f>
        <v>#REF!</v>
      </c>
      <c r="CR33" t="e">
        <f>AND(#REF!,"AAAAAH21lF8=")</f>
        <v>#REF!</v>
      </c>
      <c r="CS33" t="e">
        <f>AND(#REF!,"AAAAAH21lGA=")</f>
        <v>#REF!</v>
      </c>
      <c r="CT33" t="e">
        <f>AND(#REF!,"AAAAAH21lGE=")</f>
        <v>#REF!</v>
      </c>
      <c r="CU33" t="e">
        <f>AND(#REF!,"AAAAAH21lGI=")</f>
        <v>#REF!</v>
      </c>
      <c r="CV33" t="e">
        <f>IF(#REF!,"AAAAAH21lGM=",0)</f>
        <v>#REF!</v>
      </c>
      <c r="CW33" t="e">
        <f>AND(#REF!,"AAAAAH21lGQ=")</f>
        <v>#REF!</v>
      </c>
      <c r="CX33" t="e">
        <f>AND(#REF!,"AAAAAH21lGU=")</f>
        <v>#REF!</v>
      </c>
      <c r="CY33" t="e">
        <f>AND(#REF!,"AAAAAH21lGY=")</f>
        <v>#REF!</v>
      </c>
      <c r="CZ33" t="e">
        <f>AND(#REF!,"AAAAAH21lGc=")</f>
        <v>#REF!</v>
      </c>
      <c r="DA33" t="e">
        <f>AND(#REF!,"AAAAAH21lGg=")</f>
        <v>#REF!</v>
      </c>
      <c r="DB33" t="e">
        <f>AND(#REF!,"AAAAAH21lGk=")</f>
        <v>#REF!</v>
      </c>
      <c r="DC33" t="e">
        <f>AND(#REF!,"AAAAAH21lGo=")</f>
        <v>#REF!</v>
      </c>
      <c r="DD33" t="e">
        <f>AND(#REF!,"AAAAAH21lGs=")</f>
        <v>#REF!</v>
      </c>
      <c r="DE33" t="e">
        <f>AND(#REF!,"AAAAAH21lGw=")</f>
        <v>#REF!</v>
      </c>
      <c r="DF33" t="e">
        <f>AND(#REF!,"AAAAAH21lG0=")</f>
        <v>#REF!</v>
      </c>
      <c r="DG33" t="e">
        <f>IF(#REF!,"AAAAAH21lG4=",0)</f>
        <v>#REF!</v>
      </c>
      <c r="DH33" t="e">
        <f>AND(#REF!,"AAAAAH21lG8=")</f>
        <v>#REF!</v>
      </c>
      <c r="DI33" t="e">
        <f>AND(#REF!,"AAAAAH21lHA=")</f>
        <v>#REF!</v>
      </c>
      <c r="DJ33" t="e">
        <f>AND(#REF!,"AAAAAH21lHE=")</f>
        <v>#REF!</v>
      </c>
      <c r="DK33" t="e">
        <f>AND(#REF!,"AAAAAH21lHI=")</f>
        <v>#REF!</v>
      </c>
      <c r="DL33" t="e">
        <f>AND(#REF!,"AAAAAH21lHM=")</f>
        <v>#REF!</v>
      </c>
      <c r="DM33" t="e">
        <f>AND(#REF!,"AAAAAH21lHQ=")</f>
        <v>#REF!</v>
      </c>
      <c r="DN33" t="e">
        <f>AND(#REF!,"AAAAAH21lHU=")</f>
        <v>#REF!</v>
      </c>
      <c r="DO33" t="e">
        <f>AND(#REF!,"AAAAAH21lHY=")</f>
        <v>#REF!</v>
      </c>
      <c r="DP33" t="e">
        <f>AND(#REF!,"AAAAAH21lHc=")</f>
        <v>#REF!</v>
      </c>
      <c r="DQ33" t="e">
        <f>AND(#REF!,"AAAAAH21lHg=")</f>
        <v>#REF!</v>
      </c>
      <c r="DR33" t="e">
        <f>IF(#REF!,"AAAAAH21lHk=",0)</f>
        <v>#REF!</v>
      </c>
      <c r="DS33" t="e">
        <f>AND(#REF!,"AAAAAH21lHo=")</f>
        <v>#REF!</v>
      </c>
      <c r="DT33" t="e">
        <f>AND(#REF!,"AAAAAH21lHs=")</f>
        <v>#REF!</v>
      </c>
      <c r="DU33" t="e">
        <f>AND(#REF!,"AAAAAH21lHw=")</f>
        <v>#REF!</v>
      </c>
      <c r="DV33" t="e">
        <f>AND(#REF!,"AAAAAH21lH0=")</f>
        <v>#REF!</v>
      </c>
      <c r="DW33" t="e">
        <f>AND(#REF!,"AAAAAH21lH4=")</f>
        <v>#REF!</v>
      </c>
      <c r="DX33" t="e">
        <f>AND(#REF!,"AAAAAH21lH8=")</f>
        <v>#REF!</v>
      </c>
      <c r="DY33" t="e">
        <f>AND(#REF!,"AAAAAH21lIA=")</f>
        <v>#REF!</v>
      </c>
      <c r="DZ33" t="e">
        <f>AND(#REF!,"AAAAAH21lIE=")</f>
        <v>#REF!</v>
      </c>
      <c r="EA33" t="e">
        <f>AND(#REF!,"AAAAAH21lII=")</f>
        <v>#REF!</v>
      </c>
      <c r="EB33" t="e">
        <f>AND(#REF!,"AAAAAH21lIM=")</f>
        <v>#REF!</v>
      </c>
      <c r="EC33" t="e">
        <f>IF(#REF!,"AAAAAH21lIQ=",0)</f>
        <v>#REF!</v>
      </c>
      <c r="ED33" t="e">
        <f>AND(#REF!,"AAAAAH21lIU=")</f>
        <v>#REF!</v>
      </c>
      <c r="EE33" t="e">
        <f>AND(#REF!,"AAAAAH21lIY=")</f>
        <v>#REF!</v>
      </c>
      <c r="EF33" t="e">
        <f>AND(#REF!,"AAAAAH21lIc=")</f>
        <v>#REF!</v>
      </c>
      <c r="EG33" t="e">
        <f>AND(#REF!,"AAAAAH21lIg=")</f>
        <v>#REF!</v>
      </c>
      <c r="EH33" t="e">
        <f>AND(#REF!,"AAAAAH21lIk=")</f>
        <v>#REF!</v>
      </c>
      <c r="EI33" t="e">
        <f>AND(#REF!,"AAAAAH21lIo=")</f>
        <v>#REF!</v>
      </c>
      <c r="EJ33" t="e">
        <f>AND(#REF!,"AAAAAH21lIs=")</f>
        <v>#REF!</v>
      </c>
      <c r="EK33" t="e">
        <f>AND(#REF!,"AAAAAH21lIw=")</f>
        <v>#REF!</v>
      </c>
      <c r="EL33" t="e">
        <f>AND(#REF!,"AAAAAH21lI0=")</f>
        <v>#REF!</v>
      </c>
      <c r="EM33" t="e">
        <f>AND(#REF!,"AAAAAH21lI4=")</f>
        <v>#REF!</v>
      </c>
      <c r="EN33" t="e">
        <f>IF(#REF!,"AAAAAH21lI8=",0)</f>
        <v>#REF!</v>
      </c>
      <c r="EO33" t="e">
        <f>AND(#REF!,"AAAAAH21lJA=")</f>
        <v>#REF!</v>
      </c>
      <c r="EP33" t="e">
        <f>AND(#REF!,"AAAAAH21lJE=")</f>
        <v>#REF!</v>
      </c>
      <c r="EQ33" t="e">
        <f>AND(#REF!,"AAAAAH21lJI=")</f>
        <v>#REF!</v>
      </c>
      <c r="ER33" t="e">
        <f>AND(#REF!,"AAAAAH21lJM=")</f>
        <v>#REF!</v>
      </c>
      <c r="ES33" t="e">
        <f>AND(#REF!,"AAAAAH21lJQ=")</f>
        <v>#REF!</v>
      </c>
      <c r="ET33" t="e">
        <f>AND(#REF!,"AAAAAH21lJU=")</f>
        <v>#REF!</v>
      </c>
      <c r="EU33" t="e">
        <f>AND(#REF!,"AAAAAH21lJY=")</f>
        <v>#REF!</v>
      </c>
      <c r="EV33" t="e">
        <f>AND(#REF!,"AAAAAH21lJc=")</f>
        <v>#REF!</v>
      </c>
      <c r="EW33" t="e">
        <f>AND(#REF!,"AAAAAH21lJg=")</f>
        <v>#REF!</v>
      </c>
      <c r="EX33" t="e">
        <f>AND(#REF!,"AAAAAH21lJk=")</f>
        <v>#REF!</v>
      </c>
      <c r="EY33" t="e">
        <f>IF(#REF!,"AAAAAH21lJo=",0)</f>
        <v>#REF!</v>
      </c>
      <c r="EZ33" t="e">
        <f>AND(#REF!,"AAAAAH21lJs=")</f>
        <v>#REF!</v>
      </c>
      <c r="FA33" t="e">
        <f>AND(#REF!,"AAAAAH21lJw=")</f>
        <v>#REF!</v>
      </c>
      <c r="FB33" t="e">
        <f>AND(#REF!,"AAAAAH21lJ0=")</f>
        <v>#REF!</v>
      </c>
      <c r="FC33" t="e">
        <f>AND(#REF!,"AAAAAH21lJ4=")</f>
        <v>#REF!</v>
      </c>
      <c r="FD33" t="e">
        <f>AND(#REF!,"AAAAAH21lJ8=")</f>
        <v>#REF!</v>
      </c>
      <c r="FE33" t="e">
        <f>AND(#REF!,"AAAAAH21lKA=")</f>
        <v>#REF!</v>
      </c>
      <c r="FF33" t="e">
        <f>AND(#REF!,"AAAAAH21lKE=")</f>
        <v>#REF!</v>
      </c>
      <c r="FG33" t="e">
        <f>AND(#REF!,"AAAAAH21lKI=")</f>
        <v>#REF!</v>
      </c>
      <c r="FH33" t="e">
        <f>AND(#REF!,"AAAAAH21lKM=")</f>
        <v>#REF!</v>
      </c>
      <c r="FI33" t="e">
        <f>AND(#REF!,"AAAAAH21lKQ=")</f>
        <v>#REF!</v>
      </c>
      <c r="FJ33" t="e">
        <f>IF(#REF!,"AAAAAH21lKU=",0)</f>
        <v>#REF!</v>
      </c>
      <c r="FK33" t="e">
        <f>AND(#REF!,"AAAAAH21lKY=")</f>
        <v>#REF!</v>
      </c>
      <c r="FL33" t="e">
        <f>AND(#REF!,"AAAAAH21lKc=")</f>
        <v>#REF!</v>
      </c>
      <c r="FM33" t="e">
        <f>AND(#REF!,"AAAAAH21lKg=")</f>
        <v>#REF!</v>
      </c>
      <c r="FN33" t="e">
        <f>AND(#REF!,"AAAAAH21lKk=")</f>
        <v>#REF!</v>
      </c>
      <c r="FO33" t="e">
        <f>AND(#REF!,"AAAAAH21lKo=")</f>
        <v>#REF!</v>
      </c>
      <c r="FP33" t="e">
        <f>AND(#REF!,"AAAAAH21lKs=")</f>
        <v>#REF!</v>
      </c>
      <c r="FQ33" t="e">
        <f>AND(#REF!,"AAAAAH21lKw=")</f>
        <v>#REF!</v>
      </c>
      <c r="FR33" t="e">
        <f>AND(#REF!,"AAAAAH21lK0=")</f>
        <v>#REF!</v>
      </c>
      <c r="FS33" t="e">
        <f>AND(#REF!,"AAAAAH21lK4=")</f>
        <v>#REF!</v>
      </c>
      <c r="FT33" t="e">
        <f>AND(#REF!,"AAAAAH21lK8=")</f>
        <v>#REF!</v>
      </c>
      <c r="FU33" t="e">
        <f>IF(#REF!,"AAAAAH21lLA=",0)</f>
        <v>#REF!</v>
      </c>
      <c r="FV33" t="e">
        <f>AND(#REF!,"AAAAAH21lLE=")</f>
        <v>#REF!</v>
      </c>
      <c r="FW33" t="e">
        <f>AND(#REF!,"AAAAAH21lLI=")</f>
        <v>#REF!</v>
      </c>
      <c r="FX33" t="e">
        <f>AND(#REF!,"AAAAAH21lLM=")</f>
        <v>#REF!</v>
      </c>
      <c r="FY33" t="e">
        <f>AND(#REF!,"AAAAAH21lLQ=")</f>
        <v>#REF!</v>
      </c>
      <c r="FZ33" t="e">
        <f>AND(#REF!,"AAAAAH21lLU=")</f>
        <v>#REF!</v>
      </c>
      <c r="GA33" t="e">
        <f>AND(#REF!,"AAAAAH21lLY=")</f>
        <v>#REF!</v>
      </c>
      <c r="GB33" t="e">
        <f>AND(#REF!,"AAAAAH21lLc=")</f>
        <v>#REF!</v>
      </c>
      <c r="GC33" t="e">
        <f>AND(#REF!,"AAAAAH21lLg=")</f>
        <v>#REF!</v>
      </c>
      <c r="GD33" t="e">
        <f>AND(#REF!,"AAAAAH21lLk=")</f>
        <v>#REF!</v>
      </c>
      <c r="GE33" t="e">
        <f>AND(#REF!,"AAAAAH21lLo=")</f>
        <v>#REF!</v>
      </c>
      <c r="GF33" t="e">
        <f>IF(#REF!,"AAAAAH21lLs=",0)</f>
        <v>#REF!</v>
      </c>
      <c r="GG33" t="e">
        <f>AND(#REF!,"AAAAAH21lLw=")</f>
        <v>#REF!</v>
      </c>
      <c r="GH33" t="e">
        <f>AND(#REF!,"AAAAAH21lL0=")</f>
        <v>#REF!</v>
      </c>
      <c r="GI33" t="e">
        <f>AND(#REF!,"AAAAAH21lL4=")</f>
        <v>#REF!</v>
      </c>
      <c r="GJ33" t="e">
        <f>AND(#REF!,"AAAAAH21lL8=")</f>
        <v>#REF!</v>
      </c>
      <c r="GK33" t="e">
        <f>AND(#REF!,"AAAAAH21lMA=")</f>
        <v>#REF!</v>
      </c>
      <c r="GL33" t="e">
        <f>AND(#REF!,"AAAAAH21lME=")</f>
        <v>#REF!</v>
      </c>
      <c r="GM33" t="e">
        <f>AND(#REF!,"AAAAAH21lMI=")</f>
        <v>#REF!</v>
      </c>
      <c r="GN33" t="e">
        <f>AND(#REF!,"AAAAAH21lMM=")</f>
        <v>#REF!</v>
      </c>
      <c r="GO33" t="e">
        <f>AND(#REF!,"AAAAAH21lMQ=")</f>
        <v>#REF!</v>
      </c>
      <c r="GP33" t="e">
        <f>AND(#REF!,"AAAAAH21lMU=")</f>
        <v>#REF!</v>
      </c>
      <c r="GQ33" t="e">
        <f>IF(#REF!,"AAAAAH21lMY=",0)</f>
        <v>#REF!</v>
      </c>
      <c r="GR33" t="e">
        <f>AND(#REF!,"AAAAAH21lMc=")</f>
        <v>#REF!</v>
      </c>
      <c r="GS33" t="e">
        <f>AND(#REF!,"AAAAAH21lMg=")</f>
        <v>#REF!</v>
      </c>
      <c r="GT33" t="e">
        <f>AND(#REF!,"AAAAAH21lMk=")</f>
        <v>#REF!</v>
      </c>
      <c r="GU33" t="e">
        <f>AND(#REF!,"AAAAAH21lMo=")</f>
        <v>#REF!</v>
      </c>
      <c r="GV33" t="e">
        <f>AND(#REF!,"AAAAAH21lMs=")</f>
        <v>#REF!</v>
      </c>
      <c r="GW33" t="e">
        <f>AND(#REF!,"AAAAAH21lMw=")</f>
        <v>#REF!</v>
      </c>
      <c r="GX33" t="e">
        <f>AND(#REF!,"AAAAAH21lM0=")</f>
        <v>#REF!</v>
      </c>
      <c r="GY33" t="e">
        <f>AND(#REF!,"AAAAAH21lM4=")</f>
        <v>#REF!</v>
      </c>
      <c r="GZ33" t="e">
        <f>AND(#REF!,"AAAAAH21lM8=")</f>
        <v>#REF!</v>
      </c>
      <c r="HA33" t="e">
        <f>AND(#REF!,"AAAAAH21lNA=")</f>
        <v>#REF!</v>
      </c>
      <c r="HB33" t="e">
        <f>IF(#REF!,"AAAAAH21lNE=",0)</f>
        <v>#REF!</v>
      </c>
      <c r="HC33" t="e">
        <f>AND(#REF!,"AAAAAH21lNI=")</f>
        <v>#REF!</v>
      </c>
      <c r="HD33" t="e">
        <f>AND(#REF!,"AAAAAH21lNM=")</f>
        <v>#REF!</v>
      </c>
      <c r="HE33" t="e">
        <f>AND(#REF!,"AAAAAH21lNQ=")</f>
        <v>#REF!</v>
      </c>
      <c r="HF33" t="e">
        <f>AND(#REF!,"AAAAAH21lNU=")</f>
        <v>#REF!</v>
      </c>
      <c r="HG33" t="e">
        <f>AND(#REF!,"AAAAAH21lNY=")</f>
        <v>#REF!</v>
      </c>
      <c r="HH33" t="e">
        <f>AND(#REF!,"AAAAAH21lNc=")</f>
        <v>#REF!</v>
      </c>
      <c r="HI33" t="e">
        <f>AND(#REF!,"AAAAAH21lNg=")</f>
        <v>#REF!</v>
      </c>
      <c r="HJ33" t="e">
        <f>AND(#REF!,"AAAAAH21lNk=")</f>
        <v>#REF!</v>
      </c>
      <c r="HK33" t="e">
        <f>AND(#REF!,"AAAAAH21lNo=")</f>
        <v>#REF!</v>
      </c>
      <c r="HL33" t="e">
        <f>AND(#REF!,"AAAAAH21lNs=")</f>
        <v>#REF!</v>
      </c>
      <c r="HM33" t="e">
        <f>IF(#REF!,"AAAAAH21lNw=",0)</f>
        <v>#REF!</v>
      </c>
      <c r="HN33" t="e">
        <f>AND(#REF!,"AAAAAH21lN0=")</f>
        <v>#REF!</v>
      </c>
      <c r="HO33" t="e">
        <f>AND(#REF!,"AAAAAH21lN4=")</f>
        <v>#REF!</v>
      </c>
      <c r="HP33" t="e">
        <f>AND(#REF!,"AAAAAH21lN8=")</f>
        <v>#REF!</v>
      </c>
      <c r="HQ33" t="e">
        <f>AND(#REF!,"AAAAAH21lOA=")</f>
        <v>#REF!</v>
      </c>
      <c r="HR33" t="e">
        <f>AND(#REF!,"AAAAAH21lOE=")</f>
        <v>#REF!</v>
      </c>
      <c r="HS33" t="e">
        <f>AND(#REF!,"AAAAAH21lOI=")</f>
        <v>#REF!</v>
      </c>
      <c r="HT33" t="e">
        <f>AND(#REF!,"AAAAAH21lOM=")</f>
        <v>#REF!</v>
      </c>
      <c r="HU33" t="e">
        <f>AND(#REF!,"AAAAAH21lOQ=")</f>
        <v>#REF!</v>
      </c>
      <c r="HV33" t="e">
        <f>AND(#REF!,"AAAAAH21lOU=")</f>
        <v>#REF!</v>
      </c>
      <c r="HW33" t="e">
        <f>AND(#REF!,"AAAAAH21lOY=")</f>
        <v>#REF!</v>
      </c>
      <c r="HX33" t="e">
        <f>IF(#REF!,"AAAAAH21lOc=",0)</f>
        <v>#REF!</v>
      </c>
      <c r="HY33" t="e">
        <f>AND(#REF!,"AAAAAH21lOg=")</f>
        <v>#REF!</v>
      </c>
      <c r="HZ33" t="e">
        <f>AND(#REF!,"AAAAAH21lOk=")</f>
        <v>#REF!</v>
      </c>
      <c r="IA33" t="e">
        <f>AND(#REF!,"AAAAAH21lOo=")</f>
        <v>#REF!</v>
      </c>
      <c r="IB33" t="e">
        <f>AND(#REF!,"AAAAAH21lOs=")</f>
        <v>#REF!</v>
      </c>
      <c r="IC33" t="e">
        <f>AND(#REF!,"AAAAAH21lOw=")</f>
        <v>#REF!</v>
      </c>
      <c r="ID33" t="e">
        <f>AND(#REF!,"AAAAAH21lO0=")</f>
        <v>#REF!</v>
      </c>
      <c r="IE33" t="e">
        <f>AND(#REF!,"AAAAAH21lO4=")</f>
        <v>#REF!</v>
      </c>
      <c r="IF33" t="e">
        <f>AND(#REF!,"AAAAAH21lO8=")</f>
        <v>#REF!</v>
      </c>
      <c r="IG33" t="e">
        <f>AND(#REF!,"AAAAAH21lPA=")</f>
        <v>#REF!</v>
      </c>
      <c r="IH33" t="e">
        <f>AND(#REF!,"AAAAAH21lPE=")</f>
        <v>#REF!</v>
      </c>
      <c r="II33" t="e">
        <f>IF(#REF!,"AAAAAH21lPI=",0)</f>
        <v>#REF!</v>
      </c>
      <c r="IJ33" t="e">
        <f>AND(#REF!,"AAAAAH21lPM=")</f>
        <v>#REF!</v>
      </c>
      <c r="IK33" t="e">
        <f>AND(#REF!,"AAAAAH21lPQ=")</f>
        <v>#REF!</v>
      </c>
      <c r="IL33" t="e">
        <f>AND(#REF!,"AAAAAH21lPU=")</f>
        <v>#REF!</v>
      </c>
      <c r="IM33" t="e">
        <f>AND(#REF!,"AAAAAH21lPY=")</f>
        <v>#REF!</v>
      </c>
      <c r="IN33" t="e">
        <f>AND(#REF!,"AAAAAH21lPc=")</f>
        <v>#REF!</v>
      </c>
      <c r="IO33" t="e">
        <f>AND(#REF!,"AAAAAH21lPg=")</f>
        <v>#REF!</v>
      </c>
      <c r="IP33" t="e">
        <f>AND(#REF!,"AAAAAH21lPk=")</f>
        <v>#REF!</v>
      </c>
      <c r="IQ33" t="e">
        <f>AND(#REF!,"AAAAAH21lPo=")</f>
        <v>#REF!</v>
      </c>
      <c r="IR33" t="e">
        <f>AND(#REF!,"AAAAAH21lPs=")</f>
        <v>#REF!</v>
      </c>
      <c r="IS33" t="e">
        <f>AND(#REF!,"AAAAAH21lPw=")</f>
        <v>#REF!</v>
      </c>
      <c r="IT33" t="e">
        <f>IF(#REF!,"AAAAAH21lP0=",0)</f>
        <v>#REF!</v>
      </c>
      <c r="IU33" t="e">
        <f>AND(#REF!,"AAAAAH21lP4=")</f>
        <v>#REF!</v>
      </c>
      <c r="IV33" t="e">
        <f>AND(#REF!,"AAAAAH21lP8=")</f>
        <v>#REF!</v>
      </c>
    </row>
    <row r="34" spans="1:256">
      <c r="A34" t="e">
        <f>AND(#REF!,"AAAAAC7/2wA=")</f>
        <v>#REF!</v>
      </c>
      <c r="B34" t="e">
        <f>AND(#REF!,"AAAAAC7/2wE=")</f>
        <v>#REF!</v>
      </c>
      <c r="C34" t="e">
        <f>AND(#REF!,"AAAAAC7/2wI=")</f>
        <v>#REF!</v>
      </c>
      <c r="D34" t="e">
        <f>AND(#REF!,"AAAAAC7/2wM=")</f>
        <v>#REF!</v>
      </c>
      <c r="E34" t="e">
        <f>AND(#REF!,"AAAAAC7/2wQ=")</f>
        <v>#REF!</v>
      </c>
      <c r="F34" t="e">
        <f>AND(#REF!,"AAAAAC7/2wU=")</f>
        <v>#REF!</v>
      </c>
      <c r="G34" t="e">
        <f>AND(#REF!,"AAAAAC7/2wY=")</f>
        <v>#REF!</v>
      </c>
      <c r="H34" t="e">
        <f>AND(#REF!,"AAAAAC7/2wc=")</f>
        <v>#REF!</v>
      </c>
      <c r="I34" t="e">
        <f>IF(#REF!,"AAAAAC7/2wg=",0)</f>
        <v>#REF!</v>
      </c>
      <c r="J34" t="e">
        <f>AND(#REF!,"AAAAAC7/2wk=")</f>
        <v>#REF!</v>
      </c>
      <c r="K34" t="e">
        <f>AND(#REF!,"AAAAAC7/2wo=")</f>
        <v>#REF!</v>
      </c>
      <c r="L34" t="e">
        <f>AND(#REF!,"AAAAAC7/2ws=")</f>
        <v>#REF!</v>
      </c>
      <c r="M34" t="e">
        <f>AND(#REF!,"AAAAAC7/2ww=")</f>
        <v>#REF!</v>
      </c>
      <c r="N34" t="e">
        <f>AND(#REF!,"AAAAAC7/2w0=")</f>
        <v>#REF!</v>
      </c>
      <c r="O34" t="e">
        <f>AND(#REF!,"AAAAAC7/2w4=")</f>
        <v>#REF!</v>
      </c>
      <c r="P34" t="e">
        <f>AND(#REF!,"AAAAAC7/2w8=")</f>
        <v>#REF!</v>
      </c>
      <c r="Q34" t="e">
        <f>AND(#REF!,"AAAAAC7/2xA=")</f>
        <v>#REF!</v>
      </c>
      <c r="R34" t="e">
        <f>AND(#REF!,"AAAAAC7/2xE=")</f>
        <v>#REF!</v>
      </c>
      <c r="S34" t="e">
        <f>AND(#REF!,"AAAAAC7/2xI=")</f>
        <v>#REF!</v>
      </c>
      <c r="T34" t="e">
        <f>IF(#REF!,"AAAAAC7/2xM=",0)</f>
        <v>#REF!</v>
      </c>
      <c r="U34" t="e">
        <f>AND(#REF!,"AAAAAC7/2xQ=")</f>
        <v>#REF!</v>
      </c>
      <c r="V34" t="e">
        <f>AND(#REF!,"AAAAAC7/2xU=")</f>
        <v>#REF!</v>
      </c>
      <c r="W34" t="e">
        <f>AND(#REF!,"AAAAAC7/2xY=")</f>
        <v>#REF!</v>
      </c>
      <c r="X34" t="e">
        <f>AND(#REF!,"AAAAAC7/2xc=")</f>
        <v>#REF!</v>
      </c>
      <c r="Y34" t="e">
        <f>AND(#REF!,"AAAAAC7/2xg=")</f>
        <v>#REF!</v>
      </c>
      <c r="Z34" t="e">
        <f>AND(#REF!,"AAAAAC7/2xk=")</f>
        <v>#REF!</v>
      </c>
      <c r="AA34" t="e">
        <f>AND(#REF!,"AAAAAC7/2xo=")</f>
        <v>#REF!</v>
      </c>
      <c r="AB34" t="e">
        <f>AND(#REF!,"AAAAAC7/2xs=")</f>
        <v>#REF!</v>
      </c>
      <c r="AC34" t="e">
        <f>AND(#REF!,"AAAAAC7/2xw=")</f>
        <v>#REF!</v>
      </c>
      <c r="AD34" t="e">
        <f>AND(#REF!,"AAAAAC7/2x0=")</f>
        <v>#REF!</v>
      </c>
      <c r="AE34" t="e">
        <f>IF(#REF!,"AAAAAC7/2x4=",0)</f>
        <v>#REF!</v>
      </c>
      <c r="AF34" t="e">
        <f>AND(#REF!,"AAAAAC7/2x8=")</f>
        <v>#REF!</v>
      </c>
      <c r="AG34" t="e">
        <f>AND(#REF!,"AAAAAC7/2yA=")</f>
        <v>#REF!</v>
      </c>
      <c r="AH34" t="e">
        <f>AND(#REF!,"AAAAAC7/2yE=")</f>
        <v>#REF!</v>
      </c>
      <c r="AI34" t="e">
        <f>AND(#REF!,"AAAAAC7/2yI=")</f>
        <v>#REF!</v>
      </c>
      <c r="AJ34" t="e">
        <f>AND(#REF!,"AAAAAC7/2yM=")</f>
        <v>#REF!</v>
      </c>
      <c r="AK34" t="e">
        <f>AND(#REF!,"AAAAAC7/2yQ=")</f>
        <v>#REF!</v>
      </c>
      <c r="AL34" t="e">
        <f>AND(#REF!,"AAAAAC7/2yU=")</f>
        <v>#REF!</v>
      </c>
      <c r="AM34" t="e">
        <f>AND(#REF!,"AAAAAC7/2yY=")</f>
        <v>#REF!</v>
      </c>
      <c r="AN34" t="e">
        <f>AND(#REF!,"AAAAAC7/2yc=")</f>
        <v>#REF!</v>
      </c>
      <c r="AO34" t="e">
        <f>AND(#REF!,"AAAAAC7/2yg=")</f>
        <v>#REF!</v>
      </c>
      <c r="AP34" t="e">
        <f>IF(#REF!,"AAAAAC7/2yk=",0)</f>
        <v>#REF!</v>
      </c>
      <c r="AQ34" t="e">
        <f>AND(#REF!,"AAAAAC7/2yo=")</f>
        <v>#REF!</v>
      </c>
      <c r="AR34" t="e">
        <f>AND(#REF!,"AAAAAC7/2ys=")</f>
        <v>#REF!</v>
      </c>
      <c r="AS34" t="e">
        <f>AND(#REF!,"AAAAAC7/2yw=")</f>
        <v>#REF!</v>
      </c>
      <c r="AT34" t="e">
        <f>AND(#REF!,"AAAAAC7/2y0=")</f>
        <v>#REF!</v>
      </c>
      <c r="AU34" t="e">
        <f>AND(#REF!,"AAAAAC7/2y4=")</f>
        <v>#REF!</v>
      </c>
      <c r="AV34" t="e">
        <f>AND(#REF!,"AAAAAC7/2y8=")</f>
        <v>#REF!</v>
      </c>
      <c r="AW34" t="e">
        <f>AND(#REF!,"AAAAAC7/2zA=")</f>
        <v>#REF!</v>
      </c>
      <c r="AX34" t="e">
        <f>AND(#REF!,"AAAAAC7/2zE=")</f>
        <v>#REF!</v>
      </c>
      <c r="AY34" t="e">
        <f>AND(#REF!,"AAAAAC7/2zI=")</f>
        <v>#REF!</v>
      </c>
      <c r="AZ34" t="e">
        <f>AND(#REF!,"AAAAAC7/2zM=")</f>
        <v>#REF!</v>
      </c>
      <c r="BA34" t="e">
        <f>IF(#REF!,"AAAAAC7/2zQ=",0)</f>
        <v>#REF!</v>
      </c>
      <c r="BB34" t="e">
        <f>AND(#REF!,"AAAAAC7/2zU=")</f>
        <v>#REF!</v>
      </c>
      <c r="BC34" t="e">
        <f>AND(#REF!,"AAAAAC7/2zY=")</f>
        <v>#REF!</v>
      </c>
      <c r="BD34" t="e">
        <f>AND(#REF!,"AAAAAC7/2zc=")</f>
        <v>#REF!</v>
      </c>
      <c r="BE34" t="e">
        <f>AND(#REF!,"AAAAAC7/2zg=")</f>
        <v>#REF!</v>
      </c>
      <c r="BF34" t="e">
        <f>AND(#REF!,"AAAAAC7/2zk=")</f>
        <v>#REF!</v>
      </c>
      <c r="BG34" t="e">
        <f>AND(#REF!,"AAAAAC7/2zo=")</f>
        <v>#REF!</v>
      </c>
      <c r="BH34" t="e">
        <f>AND(#REF!,"AAAAAC7/2zs=")</f>
        <v>#REF!</v>
      </c>
      <c r="BI34" t="e">
        <f>AND(#REF!,"AAAAAC7/2zw=")</f>
        <v>#REF!</v>
      </c>
      <c r="BJ34" t="e">
        <f>AND(#REF!,"AAAAAC7/2z0=")</f>
        <v>#REF!</v>
      </c>
      <c r="BK34" t="e">
        <f>AND(#REF!,"AAAAAC7/2z4=")</f>
        <v>#REF!</v>
      </c>
      <c r="BL34" t="e">
        <f>IF(#REF!,"AAAAAC7/2z8=",0)</f>
        <v>#REF!</v>
      </c>
      <c r="BM34" t="e">
        <f>AND(#REF!,"AAAAAC7/20A=")</f>
        <v>#REF!</v>
      </c>
      <c r="BN34" t="e">
        <f>AND(#REF!,"AAAAAC7/20E=")</f>
        <v>#REF!</v>
      </c>
      <c r="BO34" t="e">
        <f>AND(#REF!,"AAAAAC7/20I=")</f>
        <v>#REF!</v>
      </c>
      <c r="BP34" t="e">
        <f>AND(#REF!,"AAAAAC7/20M=")</f>
        <v>#REF!</v>
      </c>
      <c r="BQ34" t="e">
        <f>AND(#REF!,"AAAAAC7/20Q=")</f>
        <v>#REF!</v>
      </c>
      <c r="BR34" t="e">
        <f>AND(#REF!,"AAAAAC7/20U=")</f>
        <v>#REF!</v>
      </c>
      <c r="BS34" t="e">
        <f>AND(#REF!,"AAAAAC7/20Y=")</f>
        <v>#REF!</v>
      </c>
      <c r="BT34" t="e">
        <f>AND(#REF!,"AAAAAC7/20c=")</f>
        <v>#REF!</v>
      </c>
      <c r="BU34" t="e">
        <f>AND(#REF!,"AAAAAC7/20g=")</f>
        <v>#REF!</v>
      </c>
      <c r="BV34" t="e">
        <f>AND(#REF!,"AAAAAC7/20k=")</f>
        <v>#REF!</v>
      </c>
      <c r="BW34" t="e">
        <f>IF(#REF!,"AAAAAC7/20o=",0)</f>
        <v>#REF!</v>
      </c>
      <c r="BX34" t="e">
        <f>AND(#REF!,"AAAAAC7/20s=")</f>
        <v>#REF!</v>
      </c>
      <c r="BY34" t="e">
        <f>AND(#REF!,"AAAAAC7/20w=")</f>
        <v>#REF!</v>
      </c>
      <c r="BZ34" t="e">
        <f>AND(#REF!,"AAAAAC7/200=")</f>
        <v>#REF!</v>
      </c>
      <c r="CA34" t="e">
        <f>AND(#REF!,"AAAAAC7/204=")</f>
        <v>#REF!</v>
      </c>
      <c r="CB34" t="e">
        <f>AND(#REF!,"AAAAAC7/208=")</f>
        <v>#REF!</v>
      </c>
      <c r="CC34" t="e">
        <f>AND(#REF!,"AAAAAC7/21A=")</f>
        <v>#REF!</v>
      </c>
      <c r="CD34" t="e">
        <f>AND(#REF!,"AAAAAC7/21E=")</f>
        <v>#REF!</v>
      </c>
      <c r="CE34" t="e">
        <f>AND(#REF!,"AAAAAC7/21I=")</f>
        <v>#REF!</v>
      </c>
      <c r="CF34" t="e">
        <f>AND(#REF!,"AAAAAC7/21M=")</f>
        <v>#REF!</v>
      </c>
      <c r="CG34" t="e">
        <f>AND(#REF!,"AAAAAC7/21Q=")</f>
        <v>#REF!</v>
      </c>
      <c r="CH34" t="e">
        <f>IF(#REF!,"AAAAAC7/21U=",0)</f>
        <v>#REF!</v>
      </c>
      <c r="CI34" t="e">
        <f>AND(#REF!,"AAAAAC7/21Y=")</f>
        <v>#REF!</v>
      </c>
      <c r="CJ34" t="e">
        <f>AND(#REF!,"AAAAAC7/21c=")</f>
        <v>#REF!</v>
      </c>
      <c r="CK34" t="e">
        <f>AND(#REF!,"AAAAAC7/21g=")</f>
        <v>#REF!</v>
      </c>
      <c r="CL34" t="e">
        <f>AND(#REF!,"AAAAAC7/21k=")</f>
        <v>#REF!</v>
      </c>
      <c r="CM34" t="e">
        <f>AND(#REF!,"AAAAAC7/21o=")</f>
        <v>#REF!</v>
      </c>
      <c r="CN34" t="e">
        <f>AND(#REF!,"AAAAAC7/21s=")</f>
        <v>#REF!</v>
      </c>
      <c r="CO34" t="e">
        <f>AND(#REF!,"AAAAAC7/21w=")</f>
        <v>#REF!</v>
      </c>
      <c r="CP34" t="e">
        <f>AND(#REF!,"AAAAAC7/210=")</f>
        <v>#REF!</v>
      </c>
      <c r="CQ34" t="e">
        <f>AND(#REF!,"AAAAAC7/214=")</f>
        <v>#REF!</v>
      </c>
      <c r="CR34" t="e">
        <f>AND(#REF!,"AAAAAC7/218=")</f>
        <v>#REF!</v>
      </c>
      <c r="CS34" t="e">
        <f>IF(#REF!,"AAAAAC7/22A=",0)</f>
        <v>#REF!</v>
      </c>
      <c r="CT34" t="e">
        <f>AND(#REF!,"AAAAAC7/22E=")</f>
        <v>#REF!</v>
      </c>
      <c r="CU34" t="e">
        <f>AND(#REF!,"AAAAAC7/22I=")</f>
        <v>#REF!</v>
      </c>
      <c r="CV34" t="e">
        <f>AND(#REF!,"AAAAAC7/22M=")</f>
        <v>#REF!</v>
      </c>
      <c r="CW34" t="e">
        <f>AND(#REF!,"AAAAAC7/22Q=")</f>
        <v>#REF!</v>
      </c>
      <c r="CX34" t="e">
        <f>AND(#REF!,"AAAAAC7/22U=")</f>
        <v>#REF!</v>
      </c>
      <c r="CY34" t="e">
        <f>AND(#REF!,"AAAAAC7/22Y=")</f>
        <v>#REF!</v>
      </c>
      <c r="CZ34" t="e">
        <f>AND(#REF!,"AAAAAC7/22c=")</f>
        <v>#REF!</v>
      </c>
      <c r="DA34" t="e">
        <f>AND(#REF!,"AAAAAC7/22g=")</f>
        <v>#REF!</v>
      </c>
      <c r="DB34" t="e">
        <f>AND(#REF!,"AAAAAC7/22k=")</f>
        <v>#REF!</v>
      </c>
      <c r="DC34" t="e">
        <f>AND(#REF!,"AAAAAC7/22o=")</f>
        <v>#REF!</v>
      </c>
      <c r="DD34" t="e">
        <f>IF(#REF!,"AAAAAC7/22s=",0)</f>
        <v>#REF!</v>
      </c>
      <c r="DE34" t="e">
        <f>AND(#REF!,"AAAAAC7/22w=")</f>
        <v>#REF!</v>
      </c>
      <c r="DF34" t="e">
        <f>AND(#REF!,"AAAAAC7/220=")</f>
        <v>#REF!</v>
      </c>
      <c r="DG34" t="e">
        <f>AND(#REF!,"AAAAAC7/224=")</f>
        <v>#REF!</v>
      </c>
      <c r="DH34" t="e">
        <f>AND(#REF!,"AAAAAC7/228=")</f>
        <v>#REF!</v>
      </c>
      <c r="DI34" t="e">
        <f>AND(#REF!,"AAAAAC7/23A=")</f>
        <v>#REF!</v>
      </c>
      <c r="DJ34" t="e">
        <f>AND(#REF!,"AAAAAC7/23E=")</f>
        <v>#REF!</v>
      </c>
      <c r="DK34" t="e">
        <f>AND(#REF!,"AAAAAC7/23I=")</f>
        <v>#REF!</v>
      </c>
      <c r="DL34" t="e">
        <f>AND(#REF!,"AAAAAC7/23M=")</f>
        <v>#REF!</v>
      </c>
      <c r="DM34" t="e">
        <f>AND(#REF!,"AAAAAC7/23Q=")</f>
        <v>#REF!</v>
      </c>
      <c r="DN34" t="e">
        <f>AND(#REF!,"AAAAAC7/23U=")</f>
        <v>#REF!</v>
      </c>
      <c r="DO34" t="e">
        <f>IF(#REF!,"AAAAAC7/23Y=",0)</f>
        <v>#REF!</v>
      </c>
      <c r="DP34" t="e">
        <f>AND(#REF!,"AAAAAC7/23c=")</f>
        <v>#REF!</v>
      </c>
      <c r="DQ34" t="e">
        <f>AND(#REF!,"AAAAAC7/23g=")</f>
        <v>#REF!</v>
      </c>
      <c r="DR34" t="e">
        <f>AND(#REF!,"AAAAAC7/23k=")</f>
        <v>#REF!</v>
      </c>
      <c r="DS34" t="e">
        <f>AND(#REF!,"AAAAAC7/23o=")</f>
        <v>#REF!</v>
      </c>
      <c r="DT34" t="e">
        <f>AND(#REF!,"AAAAAC7/23s=")</f>
        <v>#REF!</v>
      </c>
      <c r="DU34" t="e">
        <f>AND(#REF!,"AAAAAC7/23w=")</f>
        <v>#REF!</v>
      </c>
      <c r="DV34" t="e">
        <f>AND(#REF!,"AAAAAC7/230=")</f>
        <v>#REF!</v>
      </c>
      <c r="DW34" t="e">
        <f>AND(#REF!,"AAAAAC7/234=")</f>
        <v>#REF!</v>
      </c>
      <c r="DX34" t="e">
        <f>AND(#REF!,"AAAAAC7/238=")</f>
        <v>#REF!</v>
      </c>
      <c r="DY34" t="e">
        <f>AND(#REF!,"AAAAAC7/24A=")</f>
        <v>#REF!</v>
      </c>
      <c r="DZ34" t="e">
        <f>IF(#REF!,"AAAAAC7/24E=",0)</f>
        <v>#REF!</v>
      </c>
      <c r="EA34" t="e">
        <f>AND(#REF!,"AAAAAC7/24I=")</f>
        <v>#REF!</v>
      </c>
      <c r="EB34" t="e">
        <f>AND(#REF!,"AAAAAC7/24M=")</f>
        <v>#REF!</v>
      </c>
      <c r="EC34" t="e">
        <f>AND(#REF!,"AAAAAC7/24Q=")</f>
        <v>#REF!</v>
      </c>
      <c r="ED34" t="e">
        <f>AND(#REF!,"AAAAAC7/24U=")</f>
        <v>#REF!</v>
      </c>
      <c r="EE34" t="e">
        <f>AND(#REF!,"AAAAAC7/24Y=")</f>
        <v>#REF!</v>
      </c>
      <c r="EF34" t="e">
        <f>AND(#REF!,"AAAAAC7/24c=")</f>
        <v>#REF!</v>
      </c>
      <c r="EG34" t="e">
        <f>AND(#REF!,"AAAAAC7/24g=")</f>
        <v>#REF!</v>
      </c>
      <c r="EH34" t="e">
        <f>AND(#REF!,"AAAAAC7/24k=")</f>
        <v>#REF!</v>
      </c>
      <c r="EI34" t="e">
        <f>AND(#REF!,"AAAAAC7/24o=")</f>
        <v>#REF!</v>
      </c>
      <c r="EJ34" t="e">
        <f>AND(#REF!,"AAAAAC7/24s=")</f>
        <v>#REF!</v>
      </c>
      <c r="EK34" t="e">
        <f>IF(#REF!,"AAAAAC7/24w=",0)</f>
        <v>#REF!</v>
      </c>
      <c r="EL34" t="e">
        <f>AND(#REF!,"AAAAAC7/240=")</f>
        <v>#REF!</v>
      </c>
      <c r="EM34" t="e">
        <f>AND(#REF!,"AAAAAC7/244=")</f>
        <v>#REF!</v>
      </c>
      <c r="EN34" t="e">
        <f>AND(#REF!,"AAAAAC7/248=")</f>
        <v>#REF!</v>
      </c>
      <c r="EO34" t="e">
        <f>AND(#REF!,"AAAAAC7/25A=")</f>
        <v>#REF!</v>
      </c>
      <c r="EP34" t="e">
        <f>AND(#REF!,"AAAAAC7/25E=")</f>
        <v>#REF!</v>
      </c>
      <c r="EQ34" t="e">
        <f>AND(#REF!,"AAAAAC7/25I=")</f>
        <v>#REF!</v>
      </c>
      <c r="ER34" t="e">
        <f>AND(#REF!,"AAAAAC7/25M=")</f>
        <v>#REF!</v>
      </c>
      <c r="ES34" t="e">
        <f>AND(#REF!,"AAAAAC7/25Q=")</f>
        <v>#REF!</v>
      </c>
      <c r="ET34" t="e">
        <f>AND(#REF!,"AAAAAC7/25U=")</f>
        <v>#REF!</v>
      </c>
      <c r="EU34" t="e">
        <f>AND(#REF!,"AAAAAC7/25Y=")</f>
        <v>#REF!</v>
      </c>
      <c r="EV34" t="e">
        <f>IF(#REF!,"AAAAAC7/25c=",0)</f>
        <v>#REF!</v>
      </c>
      <c r="EW34" t="e">
        <f>AND(#REF!,"AAAAAC7/25g=")</f>
        <v>#REF!</v>
      </c>
      <c r="EX34" t="e">
        <f>AND(#REF!,"AAAAAC7/25k=")</f>
        <v>#REF!</v>
      </c>
      <c r="EY34" t="e">
        <f>AND(#REF!,"AAAAAC7/25o=")</f>
        <v>#REF!</v>
      </c>
      <c r="EZ34" t="e">
        <f>AND(#REF!,"AAAAAC7/25s=")</f>
        <v>#REF!</v>
      </c>
      <c r="FA34" t="e">
        <f>AND(#REF!,"AAAAAC7/25w=")</f>
        <v>#REF!</v>
      </c>
      <c r="FB34" t="e">
        <f>AND(#REF!,"AAAAAC7/250=")</f>
        <v>#REF!</v>
      </c>
      <c r="FC34" t="e">
        <f>AND(#REF!,"AAAAAC7/254=")</f>
        <v>#REF!</v>
      </c>
      <c r="FD34" t="e">
        <f>AND(#REF!,"AAAAAC7/258=")</f>
        <v>#REF!</v>
      </c>
      <c r="FE34" t="e">
        <f>AND(#REF!,"AAAAAC7/26A=")</f>
        <v>#REF!</v>
      </c>
      <c r="FF34" t="e">
        <f>AND(#REF!,"AAAAAC7/26E=")</f>
        <v>#REF!</v>
      </c>
      <c r="FG34" t="e">
        <f>IF(#REF!,"AAAAAC7/26I=",0)</f>
        <v>#REF!</v>
      </c>
      <c r="FH34" t="e">
        <f>AND(#REF!,"AAAAAC7/26M=")</f>
        <v>#REF!</v>
      </c>
      <c r="FI34" t="e">
        <f>AND(#REF!,"AAAAAC7/26Q=")</f>
        <v>#REF!</v>
      </c>
      <c r="FJ34" t="e">
        <f>AND(#REF!,"AAAAAC7/26U=")</f>
        <v>#REF!</v>
      </c>
      <c r="FK34" t="e">
        <f>AND(#REF!,"AAAAAC7/26Y=")</f>
        <v>#REF!</v>
      </c>
      <c r="FL34" t="e">
        <f>AND(#REF!,"AAAAAC7/26c=")</f>
        <v>#REF!</v>
      </c>
      <c r="FM34" t="e">
        <f>AND(#REF!,"AAAAAC7/26g=")</f>
        <v>#REF!</v>
      </c>
      <c r="FN34" t="e">
        <f>AND(#REF!,"AAAAAC7/26k=")</f>
        <v>#REF!</v>
      </c>
      <c r="FO34" t="e">
        <f>AND(#REF!,"AAAAAC7/26o=")</f>
        <v>#REF!</v>
      </c>
      <c r="FP34" t="e">
        <f>AND(#REF!,"AAAAAC7/26s=")</f>
        <v>#REF!</v>
      </c>
      <c r="FQ34" t="e">
        <f>AND(#REF!,"AAAAAC7/26w=")</f>
        <v>#REF!</v>
      </c>
      <c r="FR34" t="e">
        <f>IF(#REF!,"AAAAAC7/260=",0)</f>
        <v>#REF!</v>
      </c>
      <c r="FS34" t="e">
        <f>AND(#REF!,"AAAAAC7/264=")</f>
        <v>#REF!</v>
      </c>
      <c r="FT34" t="e">
        <f>AND(#REF!,"AAAAAC7/268=")</f>
        <v>#REF!</v>
      </c>
      <c r="FU34" t="e">
        <f>AND(#REF!,"AAAAAC7/27A=")</f>
        <v>#REF!</v>
      </c>
      <c r="FV34" t="e">
        <f>AND(#REF!,"AAAAAC7/27E=")</f>
        <v>#REF!</v>
      </c>
      <c r="FW34" t="e">
        <f>AND(#REF!,"AAAAAC7/27I=")</f>
        <v>#REF!</v>
      </c>
      <c r="FX34" t="e">
        <f>AND(#REF!,"AAAAAC7/27M=")</f>
        <v>#REF!</v>
      </c>
      <c r="FY34" t="e">
        <f>AND(#REF!,"AAAAAC7/27Q=")</f>
        <v>#REF!</v>
      </c>
      <c r="FZ34" t="e">
        <f>AND(#REF!,"AAAAAC7/27U=")</f>
        <v>#REF!</v>
      </c>
      <c r="GA34" t="e">
        <f>AND(#REF!,"AAAAAC7/27Y=")</f>
        <v>#REF!</v>
      </c>
      <c r="GB34" t="e">
        <f>AND(#REF!,"AAAAAC7/27c=")</f>
        <v>#REF!</v>
      </c>
      <c r="GC34" t="e">
        <f>IF(#REF!,"AAAAAC7/27g=",0)</f>
        <v>#REF!</v>
      </c>
      <c r="GD34" t="e">
        <f>AND(#REF!,"AAAAAC7/27k=")</f>
        <v>#REF!</v>
      </c>
      <c r="GE34" t="e">
        <f>AND(#REF!,"AAAAAC7/27o=")</f>
        <v>#REF!</v>
      </c>
      <c r="GF34" t="e">
        <f>AND(#REF!,"AAAAAC7/27s=")</f>
        <v>#REF!</v>
      </c>
      <c r="GG34" t="e">
        <f>AND(#REF!,"AAAAAC7/27w=")</f>
        <v>#REF!</v>
      </c>
      <c r="GH34" t="e">
        <f>AND(#REF!,"AAAAAC7/270=")</f>
        <v>#REF!</v>
      </c>
      <c r="GI34" t="e">
        <f>AND(#REF!,"AAAAAC7/274=")</f>
        <v>#REF!</v>
      </c>
      <c r="GJ34" t="e">
        <f>AND(#REF!,"AAAAAC7/278=")</f>
        <v>#REF!</v>
      </c>
      <c r="GK34" t="e">
        <f>AND(#REF!,"AAAAAC7/28A=")</f>
        <v>#REF!</v>
      </c>
      <c r="GL34" t="e">
        <f>AND(#REF!,"AAAAAC7/28E=")</f>
        <v>#REF!</v>
      </c>
      <c r="GM34" t="e">
        <f>AND(#REF!,"AAAAAC7/28I=")</f>
        <v>#REF!</v>
      </c>
      <c r="GN34" t="e">
        <f>IF(#REF!,"AAAAAC7/28M=",0)</f>
        <v>#REF!</v>
      </c>
      <c r="GO34" t="e">
        <f>AND(#REF!,"AAAAAC7/28Q=")</f>
        <v>#REF!</v>
      </c>
      <c r="GP34" t="e">
        <f>AND(#REF!,"AAAAAC7/28U=")</f>
        <v>#REF!</v>
      </c>
      <c r="GQ34" t="e">
        <f>AND(#REF!,"AAAAAC7/28Y=")</f>
        <v>#REF!</v>
      </c>
      <c r="GR34" t="e">
        <f>AND(#REF!,"AAAAAC7/28c=")</f>
        <v>#REF!</v>
      </c>
      <c r="GS34" t="e">
        <f>AND(#REF!,"AAAAAC7/28g=")</f>
        <v>#REF!</v>
      </c>
      <c r="GT34" t="e">
        <f>AND(#REF!,"AAAAAC7/28k=")</f>
        <v>#REF!</v>
      </c>
      <c r="GU34" t="e">
        <f>AND(#REF!,"AAAAAC7/28o=")</f>
        <v>#REF!</v>
      </c>
      <c r="GV34" t="e">
        <f>AND(#REF!,"AAAAAC7/28s=")</f>
        <v>#REF!</v>
      </c>
      <c r="GW34" t="e">
        <f>AND(#REF!,"AAAAAC7/28w=")</f>
        <v>#REF!</v>
      </c>
      <c r="GX34" t="e">
        <f>AND(#REF!,"AAAAAC7/280=")</f>
        <v>#REF!</v>
      </c>
      <c r="GY34" t="e">
        <f>IF(#REF!,"AAAAAC7/284=",0)</f>
        <v>#REF!</v>
      </c>
      <c r="GZ34" t="e">
        <f>AND(#REF!,"AAAAAC7/288=")</f>
        <v>#REF!</v>
      </c>
      <c r="HA34" t="e">
        <f>AND(#REF!,"AAAAAC7/29A=")</f>
        <v>#REF!</v>
      </c>
      <c r="HB34" t="e">
        <f>AND(#REF!,"AAAAAC7/29E=")</f>
        <v>#REF!</v>
      </c>
      <c r="HC34" t="e">
        <f>AND(#REF!,"AAAAAC7/29I=")</f>
        <v>#REF!</v>
      </c>
      <c r="HD34" t="e">
        <f>AND(#REF!,"AAAAAC7/29M=")</f>
        <v>#REF!</v>
      </c>
      <c r="HE34" t="e">
        <f>AND(#REF!,"AAAAAC7/29Q=")</f>
        <v>#REF!</v>
      </c>
      <c r="HF34" t="e">
        <f>AND(#REF!,"AAAAAC7/29U=")</f>
        <v>#REF!</v>
      </c>
      <c r="HG34" t="e">
        <f>AND(#REF!,"AAAAAC7/29Y=")</f>
        <v>#REF!</v>
      </c>
      <c r="HH34" t="e">
        <f>AND(#REF!,"AAAAAC7/29c=")</f>
        <v>#REF!</v>
      </c>
      <c r="HI34" t="e">
        <f>AND(#REF!,"AAAAAC7/29g=")</f>
        <v>#REF!</v>
      </c>
      <c r="HJ34" t="e">
        <f>IF(#REF!,"AAAAAC7/29k=",0)</f>
        <v>#REF!</v>
      </c>
      <c r="HK34" t="e">
        <f>AND(#REF!,"AAAAAC7/29o=")</f>
        <v>#REF!</v>
      </c>
      <c r="HL34" t="e">
        <f>AND(#REF!,"AAAAAC7/29s=")</f>
        <v>#REF!</v>
      </c>
      <c r="HM34" t="e">
        <f>AND(#REF!,"AAAAAC7/29w=")</f>
        <v>#REF!</v>
      </c>
      <c r="HN34" t="e">
        <f>AND(#REF!,"AAAAAC7/290=")</f>
        <v>#REF!</v>
      </c>
      <c r="HO34" t="e">
        <f>AND(#REF!,"AAAAAC7/294=")</f>
        <v>#REF!</v>
      </c>
      <c r="HP34" t="e">
        <f>AND(#REF!,"AAAAAC7/298=")</f>
        <v>#REF!</v>
      </c>
      <c r="HQ34" t="e">
        <f>AND(#REF!,"AAAAAC7/2+A=")</f>
        <v>#REF!</v>
      </c>
      <c r="HR34" t="e">
        <f>AND(#REF!,"AAAAAC7/2+E=")</f>
        <v>#REF!</v>
      </c>
      <c r="HS34" t="e">
        <f>AND(#REF!,"AAAAAC7/2+I=")</f>
        <v>#REF!</v>
      </c>
      <c r="HT34" t="e">
        <f>AND(#REF!,"AAAAAC7/2+M=")</f>
        <v>#REF!</v>
      </c>
      <c r="HU34" t="e">
        <f>IF(#REF!,"AAAAAC7/2+Q=",0)</f>
        <v>#REF!</v>
      </c>
      <c r="HV34" t="e">
        <f>AND(#REF!,"AAAAAC7/2+U=")</f>
        <v>#REF!</v>
      </c>
      <c r="HW34" t="e">
        <f>AND(#REF!,"AAAAAC7/2+Y=")</f>
        <v>#REF!</v>
      </c>
      <c r="HX34" t="e">
        <f>AND(#REF!,"AAAAAC7/2+c=")</f>
        <v>#REF!</v>
      </c>
      <c r="HY34" t="e">
        <f>AND(#REF!,"AAAAAC7/2+g=")</f>
        <v>#REF!</v>
      </c>
      <c r="HZ34" t="e">
        <f>AND(#REF!,"AAAAAC7/2+k=")</f>
        <v>#REF!</v>
      </c>
      <c r="IA34" t="e">
        <f>AND(#REF!,"AAAAAC7/2+o=")</f>
        <v>#REF!</v>
      </c>
      <c r="IB34" t="e">
        <f>AND(#REF!,"AAAAAC7/2+s=")</f>
        <v>#REF!</v>
      </c>
      <c r="IC34" t="e">
        <f>AND(#REF!,"AAAAAC7/2+w=")</f>
        <v>#REF!</v>
      </c>
      <c r="ID34" t="e">
        <f>AND(#REF!,"AAAAAC7/2+0=")</f>
        <v>#REF!</v>
      </c>
      <c r="IE34" t="e">
        <f>AND(#REF!,"AAAAAC7/2+4=")</f>
        <v>#REF!</v>
      </c>
      <c r="IF34" t="e">
        <f>IF(#REF!,"AAAAAC7/2+8=",0)</f>
        <v>#REF!</v>
      </c>
      <c r="IG34" t="e">
        <f>AND(#REF!,"AAAAAC7/2/A=")</f>
        <v>#REF!</v>
      </c>
      <c r="IH34" t="e">
        <f>AND(#REF!,"AAAAAC7/2/E=")</f>
        <v>#REF!</v>
      </c>
      <c r="II34" t="e">
        <f>AND(#REF!,"AAAAAC7/2/I=")</f>
        <v>#REF!</v>
      </c>
      <c r="IJ34" t="e">
        <f>AND(#REF!,"AAAAAC7/2/M=")</f>
        <v>#REF!</v>
      </c>
      <c r="IK34" t="e">
        <f>AND(#REF!,"AAAAAC7/2/Q=")</f>
        <v>#REF!</v>
      </c>
      <c r="IL34" t="e">
        <f>AND(#REF!,"AAAAAC7/2/U=")</f>
        <v>#REF!</v>
      </c>
      <c r="IM34" t="e">
        <f>AND(#REF!,"AAAAAC7/2/Y=")</f>
        <v>#REF!</v>
      </c>
      <c r="IN34" t="e">
        <f>AND(#REF!,"AAAAAC7/2/c=")</f>
        <v>#REF!</v>
      </c>
      <c r="IO34" t="e">
        <f>AND(#REF!,"AAAAAC7/2/g=")</f>
        <v>#REF!</v>
      </c>
      <c r="IP34" t="e">
        <f>AND(#REF!,"AAAAAC7/2/k=")</f>
        <v>#REF!</v>
      </c>
      <c r="IQ34" t="e">
        <f>IF(#REF!,"AAAAAC7/2/o=",0)</f>
        <v>#REF!</v>
      </c>
      <c r="IR34" t="e">
        <f>AND(#REF!,"AAAAAC7/2/s=")</f>
        <v>#REF!</v>
      </c>
      <c r="IS34" t="e">
        <f>AND(#REF!,"AAAAAC7/2/w=")</f>
        <v>#REF!</v>
      </c>
      <c r="IT34" t="e">
        <f>AND(#REF!,"AAAAAC7/2/0=")</f>
        <v>#REF!</v>
      </c>
      <c r="IU34" t="e">
        <f>AND(#REF!,"AAAAAC7/2/4=")</f>
        <v>#REF!</v>
      </c>
      <c r="IV34" t="e">
        <f>AND(#REF!,"AAAAAC7/2/8=")</f>
        <v>#REF!</v>
      </c>
    </row>
    <row r="35" spans="1:256">
      <c r="A35" t="e">
        <f>AND(#REF!,"AAAAAC9f9gA=")</f>
        <v>#REF!</v>
      </c>
      <c r="B35" t="e">
        <f>AND(#REF!,"AAAAAC9f9gE=")</f>
        <v>#REF!</v>
      </c>
      <c r="C35" t="e">
        <f>AND(#REF!,"AAAAAC9f9gI=")</f>
        <v>#REF!</v>
      </c>
      <c r="D35" t="e">
        <f>AND(#REF!,"AAAAAC9f9gM=")</f>
        <v>#REF!</v>
      </c>
      <c r="E35" t="e">
        <f>AND(#REF!,"AAAAAC9f9gQ=")</f>
        <v>#REF!</v>
      </c>
      <c r="F35" t="e">
        <f>IF(#REF!,"AAAAAC9f9gU=",0)</f>
        <v>#REF!</v>
      </c>
      <c r="G35" t="e">
        <f>AND(#REF!,"AAAAAC9f9gY=")</f>
        <v>#REF!</v>
      </c>
      <c r="H35" t="e">
        <f>AND(#REF!,"AAAAAC9f9gc=")</f>
        <v>#REF!</v>
      </c>
      <c r="I35" t="e">
        <f>AND(#REF!,"AAAAAC9f9gg=")</f>
        <v>#REF!</v>
      </c>
      <c r="J35" t="e">
        <f>AND(#REF!,"AAAAAC9f9gk=")</f>
        <v>#REF!</v>
      </c>
      <c r="K35" t="e">
        <f>AND(#REF!,"AAAAAC9f9go=")</f>
        <v>#REF!</v>
      </c>
      <c r="L35" t="e">
        <f>AND(#REF!,"AAAAAC9f9gs=")</f>
        <v>#REF!</v>
      </c>
      <c r="M35" t="e">
        <f>AND(#REF!,"AAAAAC9f9gw=")</f>
        <v>#REF!</v>
      </c>
      <c r="N35" t="e">
        <f>AND(#REF!,"AAAAAC9f9g0=")</f>
        <v>#REF!</v>
      </c>
      <c r="O35" t="e">
        <f>AND(#REF!,"AAAAAC9f9g4=")</f>
        <v>#REF!</v>
      </c>
      <c r="P35" t="e">
        <f>AND(#REF!,"AAAAAC9f9g8=")</f>
        <v>#REF!</v>
      </c>
      <c r="Q35" t="e">
        <f>IF(#REF!,"AAAAAC9f9hA=",0)</f>
        <v>#REF!</v>
      </c>
      <c r="R35" t="e">
        <f>AND(#REF!,"AAAAAC9f9hE=")</f>
        <v>#REF!</v>
      </c>
      <c r="S35" t="e">
        <f>AND(#REF!,"AAAAAC9f9hI=")</f>
        <v>#REF!</v>
      </c>
      <c r="T35" t="e">
        <f>AND(#REF!,"AAAAAC9f9hM=")</f>
        <v>#REF!</v>
      </c>
      <c r="U35" t="e">
        <f>AND(#REF!,"AAAAAC9f9hQ=")</f>
        <v>#REF!</v>
      </c>
      <c r="V35" t="e">
        <f>AND(#REF!,"AAAAAC9f9hU=")</f>
        <v>#REF!</v>
      </c>
      <c r="W35" t="e">
        <f>AND(#REF!,"AAAAAC9f9hY=")</f>
        <v>#REF!</v>
      </c>
      <c r="X35" t="e">
        <f>AND(#REF!,"AAAAAC9f9hc=")</f>
        <v>#REF!</v>
      </c>
      <c r="Y35" t="e">
        <f>AND(#REF!,"AAAAAC9f9hg=")</f>
        <v>#REF!</v>
      </c>
      <c r="Z35" t="e">
        <f>AND(#REF!,"AAAAAC9f9hk=")</f>
        <v>#REF!</v>
      </c>
      <c r="AA35" t="e">
        <f>AND(#REF!,"AAAAAC9f9ho=")</f>
        <v>#REF!</v>
      </c>
      <c r="AB35" t="e">
        <f>IF(#REF!,"AAAAAC9f9hs=",0)</f>
        <v>#REF!</v>
      </c>
      <c r="AC35" t="e">
        <f>AND(#REF!,"AAAAAC9f9hw=")</f>
        <v>#REF!</v>
      </c>
      <c r="AD35" t="e">
        <f>AND(#REF!,"AAAAAC9f9h0=")</f>
        <v>#REF!</v>
      </c>
      <c r="AE35" t="e">
        <f>AND(#REF!,"AAAAAC9f9h4=")</f>
        <v>#REF!</v>
      </c>
      <c r="AF35" t="e">
        <f>AND(#REF!,"AAAAAC9f9h8=")</f>
        <v>#REF!</v>
      </c>
      <c r="AG35" t="e">
        <f>AND(#REF!,"AAAAAC9f9iA=")</f>
        <v>#REF!</v>
      </c>
      <c r="AH35" t="e">
        <f>AND(#REF!,"AAAAAC9f9iE=")</f>
        <v>#REF!</v>
      </c>
      <c r="AI35" t="e">
        <f>AND(#REF!,"AAAAAC9f9iI=")</f>
        <v>#REF!</v>
      </c>
      <c r="AJ35" t="e">
        <f>AND(#REF!,"AAAAAC9f9iM=")</f>
        <v>#REF!</v>
      </c>
      <c r="AK35" t="e">
        <f>AND(#REF!,"AAAAAC9f9iQ=")</f>
        <v>#REF!</v>
      </c>
      <c r="AL35" t="e">
        <f>AND(#REF!,"AAAAAC9f9iU=")</f>
        <v>#REF!</v>
      </c>
      <c r="AM35" t="e">
        <f>IF(#REF!,"AAAAAC9f9iY=",0)</f>
        <v>#REF!</v>
      </c>
      <c r="AN35" t="e">
        <f>AND(#REF!,"AAAAAC9f9ic=")</f>
        <v>#REF!</v>
      </c>
      <c r="AO35" t="e">
        <f>AND(#REF!,"AAAAAC9f9ig=")</f>
        <v>#REF!</v>
      </c>
      <c r="AP35" t="e">
        <f>AND(#REF!,"AAAAAC9f9ik=")</f>
        <v>#REF!</v>
      </c>
      <c r="AQ35" t="e">
        <f>AND(#REF!,"AAAAAC9f9io=")</f>
        <v>#REF!</v>
      </c>
      <c r="AR35" t="e">
        <f>AND(#REF!,"AAAAAC9f9is=")</f>
        <v>#REF!</v>
      </c>
      <c r="AS35" t="e">
        <f>AND(#REF!,"AAAAAC9f9iw=")</f>
        <v>#REF!</v>
      </c>
      <c r="AT35" t="e">
        <f>AND(#REF!,"AAAAAC9f9i0=")</f>
        <v>#REF!</v>
      </c>
      <c r="AU35" t="e">
        <f>AND(#REF!,"AAAAAC9f9i4=")</f>
        <v>#REF!</v>
      </c>
      <c r="AV35" t="e">
        <f>AND(#REF!,"AAAAAC9f9i8=")</f>
        <v>#REF!</v>
      </c>
      <c r="AW35" t="e">
        <f>AND(#REF!,"AAAAAC9f9jA=")</f>
        <v>#REF!</v>
      </c>
      <c r="AX35" t="e">
        <f>IF(#REF!,"AAAAAC9f9jE=",0)</f>
        <v>#REF!</v>
      </c>
      <c r="AY35" t="e">
        <f>AND(#REF!,"AAAAAC9f9jI=")</f>
        <v>#REF!</v>
      </c>
      <c r="AZ35" t="e">
        <f>AND(#REF!,"AAAAAC9f9jM=")</f>
        <v>#REF!</v>
      </c>
      <c r="BA35" t="e">
        <f>AND(#REF!,"AAAAAC9f9jQ=")</f>
        <v>#REF!</v>
      </c>
      <c r="BB35" t="e">
        <f>AND(#REF!,"AAAAAC9f9jU=")</f>
        <v>#REF!</v>
      </c>
      <c r="BC35" t="e">
        <f>AND(#REF!,"AAAAAC9f9jY=")</f>
        <v>#REF!</v>
      </c>
      <c r="BD35" t="e">
        <f>AND(#REF!,"AAAAAC9f9jc=")</f>
        <v>#REF!</v>
      </c>
      <c r="BE35" t="e">
        <f>AND(#REF!,"AAAAAC9f9jg=")</f>
        <v>#REF!</v>
      </c>
      <c r="BF35" t="e">
        <f>AND(#REF!,"AAAAAC9f9jk=")</f>
        <v>#REF!</v>
      </c>
      <c r="BG35" t="e">
        <f>AND(#REF!,"AAAAAC9f9jo=")</f>
        <v>#REF!</v>
      </c>
      <c r="BH35" t="e">
        <f>AND(#REF!,"AAAAAC9f9js=")</f>
        <v>#REF!</v>
      </c>
      <c r="BI35" t="e">
        <f>IF(#REF!,"AAAAAC9f9jw=",0)</f>
        <v>#REF!</v>
      </c>
      <c r="BJ35" t="e">
        <f>AND(#REF!,"AAAAAC9f9j0=")</f>
        <v>#REF!</v>
      </c>
      <c r="BK35" t="e">
        <f>AND(#REF!,"AAAAAC9f9j4=")</f>
        <v>#REF!</v>
      </c>
      <c r="BL35" t="e">
        <f>AND(#REF!,"AAAAAC9f9j8=")</f>
        <v>#REF!</v>
      </c>
      <c r="BM35" t="e">
        <f>AND(#REF!,"AAAAAC9f9kA=")</f>
        <v>#REF!</v>
      </c>
      <c r="BN35" t="e">
        <f>AND(#REF!,"AAAAAC9f9kE=")</f>
        <v>#REF!</v>
      </c>
      <c r="BO35" t="e">
        <f>AND(#REF!,"AAAAAC9f9kI=")</f>
        <v>#REF!</v>
      </c>
      <c r="BP35" t="e">
        <f>AND(#REF!,"AAAAAC9f9kM=")</f>
        <v>#REF!</v>
      </c>
      <c r="BQ35" t="e">
        <f>AND(#REF!,"AAAAAC9f9kQ=")</f>
        <v>#REF!</v>
      </c>
      <c r="BR35" t="e">
        <f>AND(#REF!,"AAAAAC9f9kU=")</f>
        <v>#REF!</v>
      </c>
      <c r="BS35" t="e">
        <f>AND(#REF!,"AAAAAC9f9kY=")</f>
        <v>#REF!</v>
      </c>
      <c r="BT35" t="e">
        <f>IF(#REF!,"AAAAAC9f9kc=",0)</f>
        <v>#REF!</v>
      </c>
      <c r="BU35" t="e">
        <f>AND(#REF!,"AAAAAC9f9kg=")</f>
        <v>#REF!</v>
      </c>
      <c r="BV35" t="e">
        <f>AND(#REF!,"AAAAAC9f9kk=")</f>
        <v>#REF!</v>
      </c>
      <c r="BW35" t="e">
        <f>AND(#REF!,"AAAAAC9f9ko=")</f>
        <v>#REF!</v>
      </c>
      <c r="BX35" t="e">
        <f>AND(#REF!,"AAAAAC9f9ks=")</f>
        <v>#REF!</v>
      </c>
      <c r="BY35" t="e">
        <f>AND(#REF!,"AAAAAC9f9kw=")</f>
        <v>#REF!</v>
      </c>
      <c r="BZ35" t="e">
        <f>AND(#REF!,"AAAAAC9f9k0=")</f>
        <v>#REF!</v>
      </c>
      <c r="CA35" t="e">
        <f>AND(#REF!,"AAAAAC9f9k4=")</f>
        <v>#REF!</v>
      </c>
      <c r="CB35" t="e">
        <f>AND(#REF!,"AAAAAC9f9k8=")</f>
        <v>#REF!</v>
      </c>
      <c r="CC35" t="e">
        <f>AND(#REF!,"AAAAAC9f9lA=")</f>
        <v>#REF!</v>
      </c>
      <c r="CD35" t="e">
        <f>AND(#REF!,"AAAAAC9f9lE=")</f>
        <v>#REF!</v>
      </c>
      <c r="CE35" t="e">
        <f>IF(#REF!,"AAAAAC9f9lI=",0)</f>
        <v>#REF!</v>
      </c>
      <c r="CF35" t="e">
        <f>AND(#REF!,"AAAAAC9f9lM=")</f>
        <v>#REF!</v>
      </c>
      <c r="CG35" t="e">
        <f>AND(#REF!,"AAAAAC9f9lQ=")</f>
        <v>#REF!</v>
      </c>
      <c r="CH35" t="e">
        <f>AND(#REF!,"AAAAAC9f9lU=")</f>
        <v>#REF!</v>
      </c>
      <c r="CI35" t="e">
        <f>AND(#REF!,"AAAAAC9f9lY=")</f>
        <v>#REF!</v>
      </c>
      <c r="CJ35" t="e">
        <f>AND(#REF!,"AAAAAC9f9lc=")</f>
        <v>#REF!</v>
      </c>
      <c r="CK35" t="e">
        <f>AND(#REF!,"AAAAAC9f9lg=")</f>
        <v>#REF!</v>
      </c>
      <c r="CL35" t="e">
        <f>AND(#REF!,"AAAAAC9f9lk=")</f>
        <v>#REF!</v>
      </c>
      <c r="CM35" t="e">
        <f>AND(#REF!,"AAAAAC9f9lo=")</f>
        <v>#REF!</v>
      </c>
      <c r="CN35" t="e">
        <f>AND(#REF!,"AAAAAC9f9ls=")</f>
        <v>#REF!</v>
      </c>
      <c r="CO35" t="e">
        <f>AND(#REF!,"AAAAAC9f9lw=")</f>
        <v>#REF!</v>
      </c>
      <c r="CP35" t="e">
        <f>IF(#REF!,"AAAAAC9f9l0=",0)</f>
        <v>#REF!</v>
      </c>
      <c r="CQ35" t="e">
        <f>AND(#REF!,"AAAAAC9f9l4=")</f>
        <v>#REF!</v>
      </c>
      <c r="CR35" t="e">
        <f>AND(#REF!,"AAAAAC9f9l8=")</f>
        <v>#REF!</v>
      </c>
      <c r="CS35" t="e">
        <f>AND(#REF!,"AAAAAC9f9mA=")</f>
        <v>#REF!</v>
      </c>
      <c r="CT35" t="e">
        <f>AND(#REF!,"AAAAAC9f9mE=")</f>
        <v>#REF!</v>
      </c>
      <c r="CU35" t="e">
        <f>AND(#REF!,"AAAAAC9f9mI=")</f>
        <v>#REF!</v>
      </c>
      <c r="CV35" t="e">
        <f>AND(#REF!,"AAAAAC9f9mM=")</f>
        <v>#REF!</v>
      </c>
      <c r="CW35" t="e">
        <f>AND(#REF!,"AAAAAC9f9mQ=")</f>
        <v>#REF!</v>
      </c>
      <c r="CX35" t="e">
        <f>AND(#REF!,"AAAAAC9f9mU=")</f>
        <v>#REF!</v>
      </c>
      <c r="CY35" t="e">
        <f>AND(#REF!,"AAAAAC9f9mY=")</f>
        <v>#REF!</v>
      </c>
      <c r="CZ35" t="e">
        <f>AND(#REF!,"AAAAAC9f9mc=")</f>
        <v>#REF!</v>
      </c>
      <c r="DA35" t="e">
        <f>IF(#REF!,"AAAAAC9f9mg=",0)</f>
        <v>#REF!</v>
      </c>
      <c r="DB35" t="e">
        <f>AND(#REF!,"AAAAAC9f9mk=")</f>
        <v>#REF!</v>
      </c>
      <c r="DC35" t="e">
        <f>AND(#REF!,"AAAAAC9f9mo=")</f>
        <v>#REF!</v>
      </c>
      <c r="DD35" t="e">
        <f>AND(#REF!,"AAAAAC9f9ms=")</f>
        <v>#REF!</v>
      </c>
      <c r="DE35" t="e">
        <f>AND(#REF!,"AAAAAC9f9mw=")</f>
        <v>#REF!</v>
      </c>
      <c r="DF35" t="e">
        <f>AND(#REF!,"AAAAAC9f9m0=")</f>
        <v>#REF!</v>
      </c>
      <c r="DG35" t="e">
        <f>AND(#REF!,"AAAAAC9f9m4=")</f>
        <v>#REF!</v>
      </c>
      <c r="DH35" t="e">
        <f>AND(#REF!,"AAAAAC9f9m8=")</f>
        <v>#REF!</v>
      </c>
      <c r="DI35" t="e">
        <f>AND(#REF!,"AAAAAC9f9nA=")</f>
        <v>#REF!</v>
      </c>
      <c r="DJ35" t="e">
        <f>AND(#REF!,"AAAAAC9f9nE=")</f>
        <v>#REF!</v>
      </c>
      <c r="DK35" t="e">
        <f>AND(#REF!,"AAAAAC9f9nI=")</f>
        <v>#REF!</v>
      </c>
      <c r="DL35" t="e">
        <f>IF(#REF!,"AAAAAC9f9nM=",0)</f>
        <v>#REF!</v>
      </c>
      <c r="DM35" t="e">
        <f>AND(#REF!,"AAAAAC9f9nQ=")</f>
        <v>#REF!</v>
      </c>
      <c r="DN35" t="e">
        <f>AND(#REF!,"AAAAAC9f9nU=")</f>
        <v>#REF!</v>
      </c>
      <c r="DO35" t="e">
        <f>AND(#REF!,"AAAAAC9f9nY=")</f>
        <v>#REF!</v>
      </c>
      <c r="DP35" t="e">
        <f>AND(#REF!,"AAAAAC9f9nc=")</f>
        <v>#REF!</v>
      </c>
      <c r="DQ35" t="e">
        <f>AND(#REF!,"AAAAAC9f9ng=")</f>
        <v>#REF!</v>
      </c>
      <c r="DR35" t="e">
        <f>AND(#REF!,"AAAAAC9f9nk=")</f>
        <v>#REF!</v>
      </c>
      <c r="DS35" t="e">
        <f>AND(#REF!,"AAAAAC9f9no=")</f>
        <v>#REF!</v>
      </c>
      <c r="DT35" t="e">
        <f>AND(#REF!,"AAAAAC9f9ns=")</f>
        <v>#REF!</v>
      </c>
      <c r="DU35" t="e">
        <f>AND(#REF!,"AAAAAC9f9nw=")</f>
        <v>#REF!</v>
      </c>
      <c r="DV35" t="e">
        <f>AND(#REF!,"AAAAAC9f9n0=")</f>
        <v>#REF!</v>
      </c>
      <c r="DW35" t="e">
        <f>IF(#REF!,"AAAAAC9f9n4=",0)</f>
        <v>#REF!</v>
      </c>
      <c r="DX35" t="e">
        <f>AND(#REF!,"AAAAAC9f9n8=")</f>
        <v>#REF!</v>
      </c>
      <c r="DY35" t="e">
        <f>AND(#REF!,"AAAAAC9f9oA=")</f>
        <v>#REF!</v>
      </c>
      <c r="DZ35" t="e">
        <f>AND(#REF!,"AAAAAC9f9oE=")</f>
        <v>#REF!</v>
      </c>
      <c r="EA35" t="e">
        <f>AND(#REF!,"AAAAAC9f9oI=")</f>
        <v>#REF!</v>
      </c>
      <c r="EB35" t="e">
        <f>AND(#REF!,"AAAAAC9f9oM=")</f>
        <v>#REF!</v>
      </c>
      <c r="EC35" t="e">
        <f>AND(#REF!,"AAAAAC9f9oQ=")</f>
        <v>#REF!</v>
      </c>
      <c r="ED35" t="e">
        <f>AND(#REF!,"AAAAAC9f9oU=")</f>
        <v>#REF!</v>
      </c>
      <c r="EE35" t="e">
        <f>AND(#REF!,"AAAAAC9f9oY=")</f>
        <v>#REF!</v>
      </c>
      <c r="EF35" t="e">
        <f>AND(#REF!,"AAAAAC9f9oc=")</f>
        <v>#REF!</v>
      </c>
      <c r="EG35" t="e">
        <f>AND(#REF!,"AAAAAC9f9og=")</f>
        <v>#REF!</v>
      </c>
      <c r="EH35" t="e">
        <f>IF(#REF!,"AAAAAC9f9ok=",0)</f>
        <v>#REF!</v>
      </c>
      <c r="EI35" t="e">
        <f>AND(#REF!,"AAAAAC9f9oo=")</f>
        <v>#REF!</v>
      </c>
      <c r="EJ35" t="e">
        <f>AND(#REF!,"AAAAAC9f9os=")</f>
        <v>#REF!</v>
      </c>
      <c r="EK35" t="e">
        <f>AND(#REF!,"AAAAAC9f9ow=")</f>
        <v>#REF!</v>
      </c>
      <c r="EL35" t="e">
        <f>AND(#REF!,"AAAAAC9f9o0=")</f>
        <v>#REF!</v>
      </c>
      <c r="EM35" t="e">
        <f>AND(#REF!,"AAAAAC9f9o4=")</f>
        <v>#REF!</v>
      </c>
      <c r="EN35" t="e">
        <f>AND(#REF!,"AAAAAC9f9o8=")</f>
        <v>#REF!</v>
      </c>
      <c r="EO35" t="e">
        <f>AND(#REF!,"AAAAAC9f9pA=")</f>
        <v>#REF!</v>
      </c>
      <c r="EP35" t="e">
        <f>AND(#REF!,"AAAAAC9f9pE=")</f>
        <v>#REF!</v>
      </c>
      <c r="EQ35" t="e">
        <f>AND(#REF!,"AAAAAC9f9pI=")</f>
        <v>#REF!</v>
      </c>
      <c r="ER35" t="e">
        <f>AND(#REF!,"AAAAAC9f9pM=")</f>
        <v>#REF!</v>
      </c>
      <c r="ES35" t="e">
        <f>IF(#REF!,"AAAAAC9f9pQ=",0)</f>
        <v>#REF!</v>
      </c>
      <c r="ET35" t="e">
        <f>AND(#REF!,"AAAAAC9f9pU=")</f>
        <v>#REF!</v>
      </c>
      <c r="EU35" t="e">
        <f>AND(#REF!,"AAAAAC9f9pY=")</f>
        <v>#REF!</v>
      </c>
      <c r="EV35" t="e">
        <f>AND(#REF!,"AAAAAC9f9pc=")</f>
        <v>#REF!</v>
      </c>
      <c r="EW35" t="e">
        <f>AND(#REF!,"AAAAAC9f9pg=")</f>
        <v>#REF!</v>
      </c>
      <c r="EX35" t="e">
        <f>AND(#REF!,"AAAAAC9f9pk=")</f>
        <v>#REF!</v>
      </c>
      <c r="EY35" t="e">
        <f>AND(#REF!,"AAAAAC9f9po=")</f>
        <v>#REF!</v>
      </c>
      <c r="EZ35" t="e">
        <f>AND(#REF!,"AAAAAC9f9ps=")</f>
        <v>#REF!</v>
      </c>
      <c r="FA35" t="e">
        <f>AND(#REF!,"AAAAAC9f9pw=")</f>
        <v>#REF!</v>
      </c>
      <c r="FB35" t="e">
        <f>AND(#REF!,"AAAAAC9f9p0=")</f>
        <v>#REF!</v>
      </c>
      <c r="FC35" t="e">
        <f>AND(#REF!,"AAAAAC9f9p4=")</f>
        <v>#REF!</v>
      </c>
      <c r="FD35" t="e">
        <f>IF(#REF!,"AAAAAC9f9p8=",0)</f>
        <v>#REF!</v>
      </c>
      <c r="FE35" t="e">
        <f>AND(#REF!,"AAAAAC9f9qA=")</f>
        <v>#REF!</v>
      </c>
      <c r="FF35" t="e">
        <f>AND(#REF!,"AAAAAC9f9qE=")</f>
        <v>#REF!</v>
      </c>
      <c r="FG35" t="e">
        <f>AND(#REF!,"AAAAAC9f9qI=")</f>
        <v>#REF!</v>
      </c>
      <c r="FH35" t="e">
        <f>AND(#REF!,"AAAAAC9f9qM=")</f>
        <v>#REF!</v>
      </c>
      <c r="FI35" t="e">
        <f>AND(#REF!,"AAAAAC9f9qQ=")</f>
        <v>#REF!</v>
      </c>
      <c r="FJ35" t="e">
        <f>AND(#REF!,"AAAAAC9f9qU=")</f>
        <v>#REF!</v>
      </c>
      <c r="FK35" t="e">
        <f>AND(#REF!,"AAAAAC9f9qY=")</f>
        <v>#REF!</v>
      </c>
      <c r="FL35" t="e">
        <f>AND(#REF!,"AAAAAC9f9qc=")</f>
        <v>#REF!</v>
      </c>
      <c r="FM35" t="e">
        <f>AND(#REF!,"AAAAAC9f9qg=")</f>
        <v>#REF!</v>
      </c>
      <c r="FN35" t="e">
        <f>AND(#REF!,"AAAAAC9f9qk=")</f>
        <v>#REF!</v>
      </c>
      <c r="FO35" t="e">
        <f>IF(#REF!,"AAAAAC9f9qo=",0)</f>
        <v>#REF!</v>
      </c>
      <c r="FP35" t="e">
        <f>AND(#REF!,"AAAAAC9f9qs=")</f>
        <v>#REF!</v>
      </c>
      <c r="FQ35" t="e">
        <f>AND(#REF!,"AAAAAC9f9qw=")</f>
        <v>#REF!</v>
      </c>
      <c r="FR35" t="e">
        <f>AND(#REF!,"AAAAAC9f9q0=")</f>
        <v>#REF!</v>
      </c>
      <c r="FS35" t="e">
        <f>AND(#REF!,"AAAAAC9f9q4=")</f>
        <v>#REF!</v>
      </c>
      <c r="FT35" t="e">
        <f>AND(#REF!,"AAAAAC9f9q8=")</f>
        <v>#REF!</v>
      </c>
      <c r="FU35" t="e">
        <f>AND(#REF!,"AAAAAC9f9rA=")</f>
        <v>#REF!</v>
      </c>
      <c r="FV35" t="e">
        <f>AND(#REF!,"AAAAAC9f9rE=")</f>
        <v>#REF!</v>
      </c>
      <c r="FW35" t="e">
        <f>AND(#REF!,"AAAAAC9f9rI=")</f>
        <v>#REF!</v>
      </c>
      <c r="FX35" t="e">
        <f>AND(#REF!,"AAAAAC9f9rM=")</f>
        <v>#REF!</v>
      </c>
      <c r="FY35" t="e">
        <f>AND(#REF!,"AAAAAC9f9rQ=")</f>
        <v>#REF!</v>
      </c>
      <c r="FZ35" t="e">
        <f>IF(#REF!,"AAAAAC9f9rU=",0)</f>
        <v>#REF!</v>
      </c>
      <c r="GA35" t="e">
        <f>AND(#REF!,"AAAAAC9f9rY=")</f>
        <v>#REF!</v>
      </c>
      <c r="GB35" t="e">
        <f>AND(#REF!,"AAAAAC9f9rc=")</f>
        <v>#REF!</v>
      </c>
      <c r="GC35" t="e">
        <f>AND(#REF!,"AAAAAC9f9rg=")</f>
        <v>#REF!</v>
      </c>
      <c r="GD35" t="e">
        <f>AND(#REF!,"AAAAAC9f9rk=")</f>
        <v>#REF!</v>
      </c>
      <c r="GE35" t="e">
        <f>AND(#REF!,"AAAAAC9f9ro=")</f>
        <v>#REF!</v>
      </c>
      <c r="GF35" t="e">
        <f>AND(#REF!,"AAAAAC9f9rs=")</f>
        <v>#REF!</v>
      </c>
      <c r="GG35" t="e">
        <f>AND(#REF!,"AAAAAC9f9rw=")</f>
        <v>#REF!</v>
      </c>
      <c r="GH35" t="e">
        <f>AND(#REF!,"AAAAAC9f9r0=")</f>
        <v>#REF!</v>
      </c>
      <c r="GI35" t="e">
        <f>AND(#REF!,"AAAAAC9f9r4=")</f>
        <v>#REF!</v>
      </c>
      <c r="GJ35" t="e">
        <f>AND(#REF!,"AAAAAC9f9r8=")</f>
        <v>#REF!</v>
      </c>
      <c r="GK35" t="e">
        <f>IF(#REF!,"AAAAAC9f9sA=",0)</f>
        <v>#REF!</v>
      </c>
      <c r="GL35" t="e">
        <f>AND(#REF!,"AAAAAC9f9sE=")</f>
        <v>#REF!</v>
      </c>
      <c r="GM35" t="e">
        <f>AND(#REF!,"AAAAAC9f9sI=")</f>
        <v>#REF!</v>
      </c>
      <c r="GN35" t="e">
        <f>AND(#REF!,"AAAAAC9f9sM=")</f>
        <v>#REF!</v>
      </c>
      <c r="GO35" t="e">
        <f>AND(#REF!,"AAAAAC9f9sQ=")</f>
        <v>#REF!</v>
      </c>
      <c r="GP35" t="e">
        <f>AND(#REF!,"AAAAAC9f9sU=")</f>
        <v>#REF!</v>
      </c>
      <c r="GQ35" t="e">
        <f>AND(#REF!,"AAAAAC9f9sY=")</f>
        <v>#REF!</v>
      </c>
      <c r="GR35" t="e">
        <f>AND(#REF!,"AAAAAC9f9sc=")</f>
        <v>#REF!</v>
      </c>
      <c r="GS35" t="e">
        <f>AND(#REF!,"AAAAAC9f9sg=")</f>
        <v>#REF!</v>
      </c>
      <c r="GT35" t="e">
        <f>AND(#REF!,"AAAAAC9f9sk=")</f>
        <v>#REF!</v>
      </c>
      <c r="GU35" t="e">
        <f>AND(#REF!,"AAAAAC9f9so=")</f>
        <v>#REF!</v>
      </c>
      <c r="GV35" t="e">
        <f>IF(#REF!,"AAAAAC9f9ss=",0)</f>
        <v>#REF!</v>
      </c>
      <c r="GW35" t="e">
        <f>AND(#REF!,"AAAAAC9f9sw=")</f>
        <v>#REF!</v>
      </c>
      <c r="GX35" t="e">
        <f>AND(#REF!,"AAAAAC9f9s0=")</f>
        <v>#REF!</v>
      </c>
      <c r="GY35" t="e">
        <f>AND(#REF!,"AAAAAC9f9s4=")</f>
        <v>#REF!</v>
      </c>
      <c r="GZ35" t="e">
        <f>AND(#REF!,"AAAAAC9f9s8=")</f>
        <v>#REF!</v>
      </c>
      <c r="HA35" t="e">
        <f>AND(#REF!,"AAAAAC9f9tA=")</f>
        <v>#REF!</v>
      </c>
      <c r="HB35" t="e">
        <f>AND(#REF!,"AAAAAC9f9tE=")</f>
        <v>#REF!</v>
      </c>
      <c r="HC35" t="e">
        <f>AND(#REF!,"AAAAAC9f9tI=")</f>
        <v>#REF!</v>
      </c>
      <c r="HD35" t="e">
        <f>AND(#REF!,"AAAAAC9f9tM=")</f>
        <v>#REF!</v>
      </c>
      <c r="HE35" t="e">
        <f>AND(#REF!,"AAAAAC9f9tQ=")</f>
        <v>#REF!</v>
      </c>
      <c r="HF35" t="e">
        <f>AND(#REF!,"AAAAAC9f9tU=")</f>
        <v>#REF!</v>
      </c>
      <c r="HG35" t="e">
        <f>IF(#REF!,"AAAAAC9f9tY=",0)</f>
        <v>#REF!</v>
      </c>
      <c r="HH35" t="e">
        <f>AND(#REF!,"AAAAAC9f9tc=")</f>
        <v>#REF!</v>
      </c>
      <c r="HI35" t="e">
        <f>AND(#REF!,"AAAAAC9f9tg=")</f>
        <v>#REF!</v>
      </c>
      <c r="HJ35" t="e">
        <f>AND(#REF!,"AAAAAC9f9tk=")</f>
        <v>#REF!</v>
      </c>
      <c r="HK35" t="e">
        <f>AND(#REF!,"AAAAAC9f9to=")</f>
        <v>#REF!</v>
      </c>
      <c r="HL35" t="e">
        <f>AND(#REF!,"AAAAAC9f9ts=")</f>
        <v>#REF!</v>
      </c>
      <c r="HM35" t="e">
        <f>AND(#REF!,"AAAAAC9f9tw=")</f>
        <v>#REF!</v>
      </c>
      <c r="HN35" t="e">
        <f>AND(#REF!,"AAAAAC9f9t0=")</f>
        <v>#REF!</v>
      </c>
      <c r="HO35" t="e">
        <f>AND(#REF!,"AAAAAC9f9t4=")</f>
        <v>#REF!</v>
      </c>
      <c r="HP35" t="e">
        <f>AND(#REF!,"AAAAAC9f9t8=")</f>
        <v>#REF!</v>
      </c>
      <c r="HQ35" t="e">
        <f>AND(#REF!,"AAAAAC9f9uA=")</f>
        <v>#REF!</v>
      </c>
      <c r="HR35" t="e">
        <f>IF(#REF!,"AAAAAC9f9uE=",0)</f>
        <v>#REF!</v>
      </c>
      <c r="HS35" t="e">
        <f>AND(#REF!,"AAAAAC9f9uI=")</f>
        <v>#REF!</v>
      </c>
      <c r="HT35" t="e">
        <f>AND(#REF!,"AAAAAC9f9uM=")</f>
        <v>#REF!</v>
      </c>
      <c r="HU35" t="e">
        <f>AND(#REF!,"AAAAAC9f9uQ=")</f>
        <v>#REF!</v>
      </c>
      <c r="HV35" t="e">
        <f>AND(#REF!,"AAAAAC9f9uU=")</f>
        <v>#REF!</v>
      </c>
      <c r="HW35" t="e">
        <f>AND(#REF!,"AAAAAC9f9uY=")</f>
        <v>#REF!</v>
      </c>
      <c r="HX35" t="e">
        <f>AND(#REF!,"AAAAAC9f9uc=")</f>
        <v>#REF!</v>
      </c>
      <c r="HY35" t="e">
        <f>AND(#REF!,"AAAAAC9f9ug=")</f>
        <v>#REF!</v>
      </c>
      <c r="HZ35" t="e">
        <f>AND(#REF!,"AAAAAC9f9uk=")</f>
        <v>#REF!</v>
      </c>
      <c r="IA35" t="e">
        <f>AND(#REF!,"AAAAAC9f9uo=")</f>
        <v>#REF!</v>
      </c>
      <c r="IB35" t="e">
        <f>AND(#REF!,"AAAAAC9f9us=")</f>
        <v>#REF!</v>
      </c>
      <c r="IC35" t="e">
        <f>IF(#REF!,"AAAAAC9f9uw=",0)</f>
        <v>#REF!</v>
      </c>
      <c r="ID35" t="e">
        <f>AND(#REF!,"AAAAAC9f9u0=")</f>
        <v>#REF!</v>
      </c>
      <c r="IE35" t="e">
        <f>AND(#REF!,"AAAAAC9f9u4=")</f>
        <v>#REF!</v>
      </c>
      <c r="IF35" t="e">
        <f>AND(#REF!,"AAAAAC9f9u8=")</f>
        <v>#REF!</v>
      </c>
      <c r="IG35" t="e">
        <f>AND(#REF!,"AAAAAC9f9vA=")</f>
        <v>#REF!</v>
      </c>
      <c r="IH35" t="e">
        <f>AND(#REF!,"AAAAAC9f9vE=")</f>
        <v>#REF!</v>
      </c>
      <c r="II35" t="e">
        <f>AND(#REF!,"AAAAAC9f9vI=")</f>
        <v>#REF!</v>
      </c>
      <c r="IJ35" t="e">
        <f>AND(#REF!,"AAAAAC9f9vM=")</f>
        <v>#REF!</v>
      </c>
      <c r="IK35" t="e">
        <f>AND(#REF!,"AAAAAC9f9vQ=")</f>
        <v>#REF!</v>
      </c>
      <c r="IL35" t="e">
        <f>AND(#REF!,"AAAAAC9f9vU=")</f>
        <v>#REF!</v>
      </c>
      <c r="IM35" t="e">
        <f>AND(#REF!,"AAAAAC9f9vY=")</f>
        <v>#REF!</v>
      </c>
      <c r="IN35" t="e">
        <f>IF(#REF!,"AAAAAC9f9vc=",0)</f>
        <v>#REF!</v>
      </c>
      <c r="IO35" t="e">
        <f>AND(#REF!,"AAAAAC9f9vg=")</f>
        <v>#REF!</v>
      </c>
      <c r="IP35" t="e">
        <f>AND(#REF!,"AAAAAC9f9vk=")</f>
        <v>#REF!</v>
      </c>
      <c r="IQ35" t="e">
        <f>AND(#REF!,"AAAAAC9f9vo=")</f>
        <v>#REF!</v>
      </c>
      <c r="IR35" t="e">
        <f>AND(#REF!,"AAAAAC9f9vs=")</f>
        <v>#REF!</v>
      </c>
      <c r="IS35" t="e">
        <f>AND(#REF!,"AAAAAC9f9vw=")</f>
        <v>#REF!</v>
      </c>
      <c r="IT35" t="e">
        <f>AND(#REF!,"AAAAAC9f9v0=")</f>
        <v>#REF!</v>
      </c>
      <c r="IU35" t="e">
        <f>AND(#REF!,"AAAAAC9f9v4=")</f>
        <v>#REF!</v>
      </c>
      <c r="IV35" t="e">
        <f>AND(#REF!,"AAAAAC9f9v8=")</f>
        <v>#REF!</v>
      </c>
    </row>
    <row r="36" spans="1:256">
      <c r="A36" t="e">
        <f>AND(#REF!,"AAAAAHtZ/wA=")</f>
        <v>#REF!</v>
      </c>
      <c r="B36" t="e">
        <f>AND(#REF!,"AAAAAHtZ/wE=")</f>
        <v>#REF!</v>
      </c>
      <c r="C36" t="e">
        <f>IF(#REF!,"AAAAAHtZ/wI=",0)</f>
        <v>#REF!</v>
      </c>
      <c r="D36" t="e">
        <f>AND(#REF!,"AAAAAHtZ/wM=")</f>
        <v>#REF!</v>
      </c>
      <c r="E36" t="e">
        <f>AND(#REF!,"AAAAAHtZ/wQ=")</f>
        <v>#REF!</v>
      </c>
      <c r="F36" t="e">
        <f>AND(#REF!,"AAAAAHtZ/wU=")</f>
        <v>#REF!</v>
      </c>
      <c r="G36" t="e">
        <f>AND(#REF!,"AAAAAHtZ/wY=")</f>
        <v>#REF!</v>
      </c>
      <c r="H36" t="e">
        <f>AND(#REF!,"AAAAAHtZ/wc=")</f>
        <v>#REF!</v>
      </c>
      <c r="I36" t="e">
        <f>AND(#REF!,"AAAAAHtZ/wg=")</f>
        <v>#REF!</v>
      </c>
      <c r="J36" t="e">
        <f>AND(#REF!,"AAAAAHtZ/wk=")</f>
        <v>#REF!</v>
      </c>
      <c r="K36" t="e">
        <f>AND(#REF!,"AAAAAHtZ/wo=")</f>
        <v>#REF!</v>
      </c>
      <c r="L36" t="e">
        <f>AND(#REF!,"AAAAAHtZ/ws=")</f>
        <v>#REF!</v>
      </c>
      <c r="M36" t="e">
        <f>AND(#REF!,"AAAAAHtZ/ww=")</f>
        <v>#REF!</v>
      </c>
      <c r="N36" t="e">
        <f>IF(#REF!,"AAAAAHtZ/w0=",0)</f>
        <v>#REF!</v>
      </c>
      <c r="O36" t="e">
        <f>AND(#REF!,"AAAAAHtZ/w4=")</f>
        <v>#REF!</v>
      </c>
      <c r="P36" t="e">
        <f>AND(#REF!,"AAAAAHtZ/w8=")</f>
        <v>#REF!</v>
      </c>
      <c r="Q36" t="e">
        <f>AND(#REF!,"AAAAAHtZ/xA=")</f>
        <v>#REF!</v>
      </c>
      <c r="R36" t="e">
        <f>AND(#REF!,"AAAAAHtZ/xE=")</f>
        <v>#REF!</v>
      </c>
      <c r="S36" t="e">
        <f>AND(#REF!,"AAAAAHtZ/xI=")</f>
        <v>#REF!</v>
      </c>
      <c r="T36" t="e">
        <f>AND(#REF!,"AAAAAHtZ/xM=")</f>
        <v>#REF!</v>
      </c>
      <c r="U36" t="e">
        <f>AND(#REF!,"AAAAAHtZ/xQ=")</f>
        <v>#REF!</v>
      </c>
      <c r="V36" t="e">
        <f>AND(#REF!,"AAAAAHtZ/xU=")</f>
        <v>#REF!</v>
      </c>
      <c r="W36" t="e">
        <f>AND(#REF!,"AAAAAHtZ/xY=")</f>
        <v>#REF!</v>
      </c>
      <c r="X36" t="e">
        <f>AND(#REF!,"AAAAAHtZ/xc=")</f>
        <v>#REF!</v>
      </c>
      <c r="Y36" t="e">
        <f>IF(#REF!,"AAAAAHtZ/xg=",0)</f>
        <v>#REF!</v>
      </c>
      <c r="Z36" t="e">
        <f>AND(#REF!,"AAAAAHtZ/xk=")</f>
        <v>#REF!</v>
      </c>
      <c r="AA36" t="e">
        <f>AND(#REF!,"AAAAAHtZ/xo=")</f>
        <v>#REF!</v>
      </c>
      <c r="AB36" t="e">
        <f>AND(#REF!,"AAAAAHtZ/xs=")</f>
        <v>#REF!</v>
      </c>
      <c r="AC36" t="e">
        <f>AND(#REF!,"AAAAAHtZ/xw=")</f>
        <v>#REF!</v>
      </c>
      <c r="AD36" t="e">
        <f>AND(#REF!,"AAAAAHtZ/x0=")</f>
        <v>#REF!</v>
      </c>
      <c r="AE36" t="e">
        <f>AND(#REF!,"AAAAAHtZ/x4=")</f>
        <v>#REF!</v>
      </c>
      <c r="AF36" t="e">
        <f>AND(#REF!,"AAAAAHtZ/x8=")</f>
        <v>#REF!</v>
      </c>
      <c r="AG36" t="e">
        <f>AND(#REF!,"AAAAAHtZ/yA=")</f>
        <v>#REF!</v>
      </c>
      <c r="AH36" t="e">
        <f>AND(#REF!,"AAAAAHtZ/yE=")</f>
        <v>#REF!</v>
      </c>
      <c r="AI36" t="e">
        <f>AND(#REF!,"AAAAAHtZ/yI=")</f>
        <v>#REF!</v>
      </c>
      <c r="AJ36" t="e">
        <f>IF(#REF!,"AAAAAHtZ/yM=",0)</f>
        <v>#REF!</v>
      </c>
      <c r="AK36" t="e">
        <f>AND(#REF!,"AAAAAHtZ/yQ=")</f>
        <v>#REF!</v>
      </c>
      <c r="AL36" t="e">
        <f>AND(#REF!,"AAAAAHtZ/yU=")</f>
        <v>#REF!</v>
      </c>
      <c r="AM36" t="e">
        <f>AND(#REF!,"AAAAAHtZ/yY=")</f>
        <v>#REF!</v>
      </c>
      <c r="AN36" t="e">
        <f>AND(#REF!,"AAAAAHtZ/yc=")</f>
        <v>#REF!</v>
      </c>
      <c r="AO36" t="e">
        <f>AND(#REF!,"AAAAAHtZ/yg=")</f>
        <v>#REF!</v>
      </c>
      <c r="AP36" t="e">
        <f>AND(#REF!,"AAAAAHtZ/yk=")</f>
        <v>#REF!</v>
      </c>
      <c r="AQ36" t="e">
        <f>AND(#REF!,"AAAAAHtZ/yo=")</f>
        <v>#REF!</v>
      </c>
      <c r="AR36" t="e">
        <f>AND(#REF!,"AAAAAHtZ/ys=")</f>
        <v>#REF!</v>
      </c>
      <c r="AS36" t="e">
        <f>AND(#REF!,"AAAAAHtZ/yw=")</f>
        <v>#REF!</v>
      </c>
      <c r="AT36" t="e">
        <f>AND(#REF!,"AAAAAHtZ/y0=")</f>
        <v>#REF!</v>
      </c>
      <c r="AU36" t="e">
        <f>IF(#REF!,"AAAAAHtZ/y4=",0)</f>
        <v>#REF!</v>
      </c>
      <c r="AV36" t="e">
        <f>AND(#REF!,"AAAAAHtZ/y8=")</f>
        <v>#REF!</v>
      </c>
      <c r="AW36" t="e">
        <f>AND(#REF!,"AAAAAHtZ/zA=")</f>
        <v>#REF!</v>
      </c>
      <c r="AX36" t="e">
        <f>AND(#REF!,"AAAAAHtZ/zE=")</f>
        <v>#REF!</v>
      </c>
      <c r="AY36" t="e">
        <f>AND(#REF!,"AAAAAHtZ/zI=")</f>
        <v>#REF!</v>
      </c>
      <c r="AZ36" t="e">
        <f>AND(#REF!,"AAAAAHtZ/zM=")</f>
        <v>#REF!</v>
      </c>
      <c r="BA36" t="e">
        <f>AND(#REF!,"AAAAAHtZ/zQ=")</f>
        <v>#REF!</v>
      </c>
      <c r="BB36" t="e">
        <f>AND(#REF!,"AAAAAHtZ/zU=")</f>
        <v>#REF!</v>
      </c>
      <c r="BC36" t="e">
        <f>AND(#REF!,"AAAAAHtZ/zY=")</f>
        <v>#REF!</v>
      </c>
      <c r="BD36" t="e">
        <f>AND(#REF!,"AAAAAHtZ/zc=")</f>
        <v>#REF!</v>
      </c>
      <c r="BE36" t="e">
        <f>AND(#REF!,"AAAAAHtZ/zg=")</f>
        <v>#REF!</v>
      </c>
      <c r="BF36" t="e">
        <f>IF(#REF!,"AAAAAHtZ/zk=",0)</f>
        <v>#REF!</v>
      </c>
      <c r="BG36" t="e">
        <f>AND(#REF!,"AAAAAHtZ/zo=")</f>
        <v>#REF!</v>
      </c>
      <c r="BH36" t="e">
        <f>AND(#REF!,"AAAAAHtZ/zs=")</f>
        <v>#REF!</v>
      </c>
      <c r="BI36" t="e">
        <f>AND(#REF!,"AAAAAHtZ/zw=")</f>
        <v>#REF!</v>
      </c>
      <c r="BJ36" t="e">
        <f>AND(#REF!,"AAAAAHtZ/z0=")</f>
        <v>#REF!</v>
      </c>
      <c r="BK36" t="e">
        <f>AND(#REF!,"AAAAAHtZ/z4=")</f>
        <v>#REF!</v>
      </c>
      <c r="BL36" t="e">
        <f>AND(#REF!,"AAAAAHtZ/z8=")</f>
        <v>#REF!</v>
      </c>
      <c r="BM36" t="e">
        <f>AND(#REF!,"AAAAAHtZ/0A=")</f>
        <v>#REF!</v>
      </c>
      <c r="BN36" t="e">
        <f>AND(#REF!,"AAAAAHtZ/0E=")</f>
        <v>#REF!</v>
      </c>
      <c r="BO36" t="e">
        <f>AND(#REF!,"AAAAAHtZ/0I=")</f>
        <v>#REF!</v>
      </c>
      <c r="BP36" t="e">
        <f>AND(#REF!,"AAAAAHtZ/0M=")</f>
        <v>#REF!</v>
      </c>
      <c r="BQ36" t="e">
        <f>IF(#REF!,"AAAAAHtZ/0Q=",0)</f>
        <v>#REF!</v>
      </c>
      <c r="BR36" t="e">
        <f>AND(#REF!,"AAAAAHtZ/0U=")</f>
        <v>#REF!</v>
      </c>
      <c r="BS36" t="e">
        <f>AND(#REF!,"AAAAAHtZ/0Y=")</f>
        <v>#REF!</v>
      </c>
      <c r="BT36" t="e">
        <f>AND(#REF!,"AAAAAHtZ/0c=")</f>
        <v>#REF!</v>
      </c>
      <c r="BU36" t="e">
        <f>AND(#REF!,"AAAAAHtZ/0g=")</f>
        <v>#REF!</v>
      </c>
      <c r="BV36" t="e">
        <f>AND(#REF!,"AAAAAHtZ/0k=")</f>
        <v>#REF!</v>
      </c>
      <c r="BW36" t="e">
        <f>AND(#REF!,"AAAAAHtZ/0o=")</f>
        <v>#REF!</v>
      </c>
      <c r="BX36" t="e">
        <f>AND(#REF!,"AAAAAHtZ/0s=")</f>
        <v>#REF!</v>
      </c>
      <c r="BY36" t="e">
        <f>AND(#REF!,"AAAAAHtZ/0w=")</f>
        <v>#REF!</v>
      </c>
      <c r="BZ36" t="e">
        <f>AND(#REF!,"AAAAAHtZ/00=")</f>
        <v>#REF!</v>
      </c>
      <c r="CA36" t="e">
        <f>AND(#REF!,"AAAAAHtZ/04=")</f>
        <v>#REF!</v>
      </c>
      <c r="CB36" t="e">
        <f>IF(#REF!,"AAAAAHtZ/08=",0)</f>
        <v>#REF!</v>
      </c>
      <c r="CC36" t="e">
        <f>AND(#REF!,"AAAAAHtZ/1A=")</f>
        <v>#REF!</v>
      </c>
      <c r="CD36" t="e">
        <f>AND(#REF!,"AAAAAHtZ/1E=")</f>
        <v>#REF!</v>
      </c>
      <c r="CE36" t="e">
        <f>AND(#REF!,"AAAAAHtZ/1I=")</f>
        <v>#REF!</v>
      </c>
      <c r="CF36" t="e">
        <f>AND(#REF!,"AAAAAHtZ/1M=")</f>
        <v>#REF!</v>
      </c>
      <c r="CG36" t="e">
        <f>AND(#REF!,"AAAAAHtZ/1Q=")</f>
        <v>#REF!</v>
      </c>
      <c r="CH36" t="e">
        <f>AND(#REF!,"AAAAAHtZ/1U=")</f>
        <v>#REF!</v>
      </c>
      <c r="CI36" t="e">
        <f>AND(#REF!,"AAAAAHtZ/1Y=")</f>
        <v>#REF!</v>
      </c>
      <c r="CJ36" t="e">
        <f>AND(#REF!,"AAAAAHtZ/1c=")</f>
        <v>#REF!</v>
      </c>
      <c r="CK36" t="e">
        <f>AND(#REF!,"AAAAAHtZ/1g=")</f>
        <v>#REF!</v>
      </c>
      <c r="CL36" t="e">
        <f>AND(#REF!,"AAAAAHtZ/1k=")</f>
        <v>#REF!</v>
      </c>
      <c r="CM36" t="e">
        <f>IF(#REF!,"AAAAAHtZ/1o=",0)</f>
        <v>#REF!</v>
      </c>
      <c r="CN36" t="e">
        <f>AND(#REF!,"AAAAAHtZ/1s=")</f>
        <v>#REF!</v>
      </c>
      <c r="CO36" t="e">
        <f>AND(#REF!,"AAAAAHtZ/1w=")</f>
        <v>#REF!</v>
      </c>
      <c r="CP36" t="e">
        <f>AND(#REF!,"AAAAAHtZ/10=")</f>
        <v>#REF!</v>
      </c>
      <c r="CQ36" t="e">
        <f>AND(#REF!,"AAAAAHtZ/14=")</f>
        <v>#REF!</v>
      </c>
      <c r="CR36" t="e">
        <f>AND(#REF!,"AAAAAHtZ/18=")</f>
        <v>#REF!</v>
      </c>
      <c r="CS36" t="e">
        <f>AND(#REF!,"AAAAAHtZ/2A=")</f>
        <v>#REF!</v>
      </c>
      <c r="CT36" t="e">
        <f>AND(#REF!,"AAAAAHtZ/2E=")</f>
        <v>#REF!</v>
      </c>
      <c r="CU36" t="e">
        <f>AND(#REF!,"AAAAAHtZ/2I=")</f>
        <v>#REF!</v>
      </c>
      <c r="CV36" t="e">
        <f>AND(#REF!,"AAAAAHtZ/2M=")</f>
        <v>#REF!</v>
      </c>
      <c r="CW36" t="e">
        <f>AND(#REF!,"AAAAAHtZ/2Q=")</f>
        <v>#REF!</v>
      </c>
      <c r="CX36" t="e">
        <f>IF(#REF!,"AAAAAHtZ/2U=",0)</f>
        <v>#REF!</v>
      </c>
      <c r="CY36" t="e">
        <f>AND(#REF!,"AAAAAHtZ/2Y=")</f>
        <v>#REF!</v>
      </c>
      <c r="CZ36" t="e">
        <f>AND(#REF!,"AAAAAHtZ/2c=")</f>
        <v>#REF!</v>
      </c>
      <c r="DA36" t="e">
        <f>AND(#REF!,"AAAAAHtZ/2g=")</f>
        <v>#REF!</v>
      </c>
      <c r="DB36" t="e">
        <f>AND(#REF!,"AAAAAHtZ/2k=")</f>
        <v>#REF!</v>
      </c>
      <c r="DC36" t="e">
        <f>AND(#REF!,"AAAAAHtZ/2o=")</f>
        <v>#REF!</v>
      </c>
      <c r="DD36" t="e">
        <f>AND(#REF!,"AAAAAHtZ/2s=")</f>
        <v>#REF!</v>
      </c>
      <c r="DE36" t="e">
        <f>IF(#REF!,"AAAAAHtZ/2w=",0)</f>
        <v>#REF!</v>
      </c>
      <c r="DF36" t="e">
        <f>AND(#REF!,"AAAAAHtZ/20=")</f>
        <v>#REF!</v>
      </c>
      <c r="DG36" t="e">
        <f>AND(#REF!,"AAAAAHtZ/24=")</f>
        <v>#REF!</v>
      </c>
      <c r="DH36" t="e">
        <f>AND(#REF!,"AAAAAHtZ/28=")</f>
        <v>#REF!</v>
      </c>
      <c r="DI36" t="e">
        <f>AND(#REF!,"AAAAAHtZ/3A=")</f>
        <v>#REF!</v>
      </c>
      <c r="DJ36" t="e">
        <f>AND(#REF!,"AAAAAHtZ/3E=")</f>
        <v>#REF!</v>
      </c>
      <c r="DK36" t="e">
        <f>AND(#REF!,"AAAAAHtZ/3I=")</f>
        <v>#REF!</v>
      </c>
      <c r="DL36" t="e">
        <f>IF(#REF!,"AAAAAHtZ/3M=",0)</f>
        <v>#REF!</v>
      </c>
      <c r="DM36" t="e">
        <f>AND(#REF!,"AAAAAHtZ/3Q=")</f>
        <v>#REF!</v>
      </c>
      <c r="DN36" t="e">
        <f>AND(#REF!,"AAAAAHtZ/3U=")</f>
        <v>#REF!</v>
      </c>
      <c r="DO36" t="e">
        <f>AND(#REF!,"AAAAAHtZ/3Y=")</f>
        <v>#REF!</v>
      </c>
      <c r="DP36" t="e">
        <f>AND(#REF!,"AAAAAHtZ/3c=")</f>
        <v>#REF!</v>
      </c>
      <c r="DQ36" t="e">
        <f>AND(#REF!,"AAAAAHtZ/3g=")</f>
        <v>#REF!</v>
      </c>
      <c r="DR36" t="e">
        <f>AND(#REF!,"AAAAAHtZ/3k=")</f>
        <v>#REF!</v>
      </c>
      <c r="DS36" t="e">
        <f>IF(#REF!,"AAAAAHtZ/3o=",0)</f>
        <v>#REF!</v>
      </c>
      <c r="DT36" t="e">
        <f>AND(#REF!,"AAAAAHtZ/3s=")</f>
        <v>#REF!</v>
      </c>
      <c r="DU36" t="e">
        <f>AND(#REF!,"AAAAAHtZ/3w=")</f>
        <v>#REF!</v>
      </c>
      <c r="DV36" t="e">
        <f>AND(#REF!,"AAAAAHtZ/30=")</f>
        <v>#REF!</v>
      </c>
      <c r="DW36" t="e">
        <f>AND(#REF!,"AAAAAHtZ/34=")</f>
        <v>#REF!</v>
      </c>
      <c r="DX36" t="e">
        <f>AND(#REF!,"AAAAAHtZ/38=")</f>
        <v>#REF!</v>
      </c>
      <c r="DY36" t="e">
        <f>AND(#REF!,"AAAAAHtZ/4A=")</f>
        <v>#REF!</v>
      </c>
      <c r="DZ36" t="e">
        <f>IF(#REF!,"AAAAAHtZ/4E=",0)</f>
        <v>#REF!</v>
      </c>
      <c r="EA36" t="e">
        <f>IF(#REF!,"AAAAAHtZ/4I=",0)</f>
        <v>#REF!</v>
      </c>
      <c r="EB36" t="e">
        <f>IF(#REF!,"AAAAAHtZ/4M=",0)</f>
        <v>#REF!</v>
      </c>
      <c r="EC36" t="e">
        <f>IF(#REF!,"AAAAAHtZ/4Q=",0)</f>
        <v>#REF!</v>
      </c>
      <c r="ED36" t="e">
        <f>IF(#REF!,"AAAAAHtZ/4U=",0)</f>
        <v>#REF!</v>
      </c>
      <c r="EE36" t="e">
        <f>IF(#REF!,"AAAAAHtZ/4Y=",0)</f>
        <v>#REF!</v>
      </c>
      <c r="EF36" t="e">
        <f>IF(#REF!,"AAAAAHtZ/4c=",0)</f>
        <v>#REF!</v>
      </c>
      <c r="EG36" t="e">
        <f>IF(#REF!,"AAAAAHtZ/4g=",0)</f>
        <v>#REF!</v>
      </c>
      <c r="EH36" t="e">
        <f>IF(#REF!,"AAAAAHtZ/4k=",0)</f>
        <v>#REF!</v>
      </c>
      <c r="EI36" t="e">
        <f>IF(#REF!,"AAAAAHtZ/4o=",0)</f>
        <v>#REF!</v>
      </c>
      <c r="EJ36" t="e">
        <f>IF(#REF!,"AAAAAHtZ/4s=",0)</f>
        <v>#REF!</v>
      </c>
      <c r="EK36" t="e">
        <f>AND(#REF!,"AAAAAHtZ/4w=")</f>
        <v>#REF!</v>
      </c>
      <c r="EL36" t="e">
        <f>AND(#REF!,"AAAAAHtZ/40=")</f>
        <v>#REF!</v>
      </c>
      <c r="EM36" t="e">
        <f>AND(#REF!,"AAAAAHtZ/44=")</f>
        <v>#REF!</v>
      </c>
      <c r="EN36" t="e">
        <f>AND(#REF!,"AAAAAHtZ/48=")</f>
        <v>#REF!</v>
      </c>
      <c r="EO36" t="e">
        <f>AND(#REF!,"AAAAAHtZ/5A=")</f>
        <v>#REF!</v>
      </c>
      <c r="EP36" t="e">
        <f>AND(#REF!,"AAAAAHtZ/5E=")</f>
        <v>#REF!</v>
      </c>
      <c r="EQ36" t="e">
        <f>AND(#REF!,"AAAAAHtZ/5I=")</f>
        <v>#REF!</v>
      </c>
      <c r="ER36" t="e">
        <f>AND(#REF!,"AAAAAHtZ/5M=")</f>
        <v>#REF!</v>
      </c>
      <c r="ES36" t="e">
        <f>AND(#REF!,"AAAAAHtZ/5Q=")</f>
        <v>#REF!</v>
      </c>
      <c r="ET36" t="e">
        <f>AND(#REF!,"AAAAAHtZ/5U=")</f>
        <v>#REF!</v>
      </c>
      <c r="EU36" t="e">
        <f>IF(#REF!,"AAAAAHtZ/5Y=",0)</f>
        <v>#REF!</v>
      </c>
      <c r="EV36" t="e">
        <f>AND(#REF!,"AAAAAHtZ/5c=")</f>
        <v>#REF!</v>
      </c>
      <c r="EW36" t="e">
        <f>AND(#REF!,"AAAAAHtZ/5g=")</f>
        <v>#REF!</v>
      </c>
      <c r="EX36" t="e">
        <f>AND(#REF!,"AAAAAHtZ/5k=")</f>
        <v>#REF!</v>
      </c>
      <c r="EY36" t="e">
        <f>AND(#REF!,"AAAAAHtZ/5o=")</f>
        <v>#REF!</v>
      </c>
      <c r="EZ36" t="e">
        <f>AND(#REF!,"AAAAAHtZ/5s=")</f>
        <v>#REF!</v>
      </c>
      <c r="FA36" t="e">
        <f>AND(#REF!,"AAAAAHtZ/5w=")</f>
        <v>#REF!</v>
      </c>
      <c r="FB36" t="e">
        <f>AND(#REF!,"AAAAAHtZ/50=")</f>
        <v>#REF!</v>
      </c>
      <c r="FC36" t="e">
        <f>AND(#REF!,"AAAAAHtZ/54=")</f>
        <v>#REF!</v>
      </c>
      <c r="FD36" t="e">
        <f>AND(#REF!,"AAAAAHtZ/58=")</f>
        <v>#REF!</v>
      </c>
      <c r="FE36" t="e">
        <f>AND(#REF!,"AAAAAHtZ/6A=")</f>
        <v>#REF!</v>
      </c>
      <c r="FF36" t="e">
        <f>IF(#REF!,"AAAAAHtZ/6E=",0)</f>
        <v>#REF!</v>
      </c>
      <c r="FG36" t="e">
        <f>AND(#REF!,"AAAAAHtZ/6I=")</f>
        <v>#REF!</v>
      </c>
      <c r="FH36" t="e">
        <f>AND(#REF!,"AAAAAHtZ/6M=")</f>
        <v>#REF!</v>
      </c>
      <c r="FI36" t="e">
        <f>AND(#REF!,"AAAAAHtZ/6Q=")</f>
        <v>#REF!</v>
      </c>
      <c r="FJ36" t="e">
        <f>AND(#REF!,"AAAAAHtZ/6U=")</f>
        <v>#REF!</v>
      </c>
      <c r="FK36" t="e">
        <f>AND(#REF!,"AAAAAHtZ/6Y=")</f>
        <v>#REF!</v>
      </c>
      <c r="FL36" t="e">
        <f>AND(#REF!,"AAAAAHtZ/6c=")</f>
        <v>#REF!</v>
      </c>
      <c r="FM36" t="e">
        <f>AND(#REF!,"AAAAAHtZ/6g=")</f>
        <v>#REF!</v>
      </c>
      <c r="FN36" t="e">
        <f>AND(#REF!,"AAAAAHtZ/6k=")</f>
        <v>#REF!</v>
      </c>
      <c r="FO36" t="e">
        <f>AND(#REF!,"AAAAAHtZ/6o=")</f>
        <v>#REF!</v>
      </c>
      <c r="FP36" t="e">
        <f>AND(#REF!,"AAAAAHtZ/6s=")</f>
        <v>#REF!</v>
      </c>
      <c r="FQ36" t="e">
        <f>IF(#REF!,"AAAAAHtZ/6w=",0)</f>
        <v>#REF!</v>
      </c>
      <c r="FR36" t="e">
        <f>AND(#REF!,"AAAAAHtZ/60=")</f>
        <v>#REF!</v>
      </c>
      <c r="FS36" t="e">
        <f>AND(#REF!,"AAAAAHtZ/64=")</f>
        <v>#REF!</v>
      </c>
      <c r="FT36" t="e">
        <f>AND(#REF!,"AAAAAHtZ/68=")</f>
        <v>#REF!</v>
      </c>
      <c r="FU36" t="e">
        <f>AND(#REF!,"AAAAAHtZ/7A=")</f>
        <v>#REF!</v>
      </c>
      <c r="FV36" t="e">
        <f>AND(#REF!,"AAAAAHtZ/7E=")</f>
        <v>#REF!</v>
      </c>
      <c r="FW36" t="e">
        <f>AND(#REF!,"AAAAAHtZ/7I=")</f>
        <v>#REF!</v>
      </c>
      <c r="FX36" t="e">
        <f>AND(#REF!,"AAAAAHtZ/7M=")</f>
        <v>#REF!</v>
      </c>
      <c r="FY36" t="e">
        <f>AND(#REF!,"AAAAAHtZ/7Q=")</f>
        <v>#REF!</v>
      </c>
      <c r="FZ36" t="e">
        <f>AND(#REF!,"AAAAAHtZ/7U=")</f>
        <v>#REF!</v>
      </c>
      <c r="GA36" t="e">
        <f>AND(#REF!,"AAAAAHtZ/7Y=")</f>
        <v>#REF!</v>
      </c>
      <c r="GB36" t="e">
        <f>IF(#REF!,"AAAAAHtZ/7c=",0)</f>
        <v>#REF!</v>
      </c>
      <c r="GC36" t="e">
        <f>AND(#REF!,"AAAAAHtZ/7g=")</f>
        <v>#REF!</v>
      </c>
      <c r="GD36" t="e">
        <f>AND(#REF!,"AAAAAHtZ/7k=")</f>
        <v>#REF!</v>
      </c>
      <c r="GE36" t="e">
        <f>AND(#REF!,"AAAAAHtZ/7o=")</f>
        <v>#REF!</v>
      </c>
      <c r="GF36" t="e">
        <f>AND(#REF!,"AAAAAHtZ/7s=")</f>
        <v>#REF!</v>
      </c>
      <c r="GG36" t="e">
        <f>AND(#REF!,"AAAAAHtZ/7w=")</f>
        <v>#REF!</v>
      </c>
      <c r="GH36" t="e">
        <f>AND(#REF!,"AAAAAHtZ/70=")</f>
        <v>#REF!</v>
      </c>
      <c r="GI36" t="e">
        <f>AND(#REF!,"AAAAAHtZ/74=")</f>
        <v>#REF!</v>
      </c>
      <c r="GJ36" t="e">
        <f>AND(#REF!,"AAAAAHtZ/78=")</f>
        <v>#REF!</v>
      </c>
      <c r="GK36" t="e">
        <f>AND(#REF!,"AAAAAHtZ/8A=")</f>
        <v>#REF!</v>
      </c>
      <c r="GL36" t="e">
        <f>AND(#REF!,"AAAAAHtZ/8E=")</f>
        <v>#REF!</v>
      </c>
      <c r="GM36" t="e">
        <f>IF(#REF!,"AAAAAHtZ/8I=",0)</f>
        <v>#REF!</v>
      </c>
      <c r="GN36" t="e">
        <f>AND(#REF!,"AAAAAHtZ/8M=")</f>
        <v>#REF!</v>
      </c>
      <c r="GO36" t="e">
        <f>AND(#REF!,"AAAAAHtZ/8Q=")</f>
        <v>#REF!</v>
      </c>
      <c r="GP36" t="e">
        <f>AND(#REF!,"AAAAAHtZ/8U=")</f>
        <v>#REF!</v>
      </c>
      <c r="GQ36" t="e">
        <f>AND(#REF!,"AAAAAHtZ/8Y=")</f>
        <v>#REF!</v>
      </c>
      <c r="GR36" t="e">
        <f>AND(#REF!,"AAAAAHtZ/8c=")</f>
        <v>#REF!</v>
      </c>
      <c r="GS36" t="e">
        <f>AND(#REF!,"AAAAAHtZ/8g=")</f>
        <v>#REF!</v>
      </c>
      <c r="GT36" t="e">
        <f>AND(#REF!,"AAAAAHtZ/8k=")</f>
        <v>#REF!</v>
      </c>
      <c r="GU36" t="e">
        <f>AND(#REF!,"AAAAAHtZ/8o=")</f>
        <v>#REF!</v>
      </c>
      <c r="GV36" t="e">
        <f>AND(#REF!,"AAAAAHtZ/8s=")</f>
        <v>#REF!</v>
      </c>
      <c r="GW36" t="e">
        <f>AND(#REF!,"AAAAAHtZ/8w=")</f>
        <v>#REF!</v>
      </c>
      <c r="GX36" t="e">
        <f>IF(#REF!,"AAAAAHtZ/80=",0)</f>
        <v>#REF!</v>
      </c>
      <c r="GY36" t="e">
        <f>AND(#REF!,"AAAAAHtZ/84=")</f>
        <v>#REF!</v>
      </c>
      <c r="GZ36" t="e">
        <f>AND(#REF!,"AAAAAHtZ/88=")</f>
        <v>#REF!</v>
      </c>
      <c r="HA36" t="e">
        <f>AND(#REF!,"AAAAAHtZ/9A=")</f>
        <v>#REF!</v>
      </c>
      <c r="HB36" t="e">
        <f>AND(#REF!,"AAAAAHtZ/9E=")</f>
        <v>#REF!</v>
      </c>
      <c r="HC36" t="e">
        <f>AND(#REF!,"AAAAAHtZ/9I=")</f>
        <v>#REF!</v>
      </c>
      <c r="HD36" t="e">
        <f>AND(#REF!,"AAAAAHtZ/9M=")</f>
        <v>#REF!</v>
      </c>
      <c r="HE36" t="e">
        <f>AND(#REF!,"AAAAAHtZ/9Q=")</f>
        <v>#REF!</v>
      </c>
      <c r="HF36" t="e">
        <f>AND(#REF!,"AAAAAHtZ/9U=")</f>
        <v>#REF!</v>
      </c>
      <c r="HG36" t="e">
        <f>AND(#REF!,"AAAAAHtZ/9Y=")</f>
        <v>#REF!</v>
      </c>
      <c r="HH36" t="e">
        <f>AND(#REF!,"AAAAAHtZ/9c=")</f>
        <v>#REF!</v>
      </c>
      <c r="HI36" t="e">
        <f>IF(#REF!,"AAAAAHtZ/9g=",0)</f>
        <v>#REF!</v>
      </c>
      <c r="HJ36" t="e">
        <f>AND(#REF!,"AAAAAHtZ/9k=")</f>
        <v>#REF!</v>
      </c>
      <c r="HK36" t="e">
        <f>AND(#REF!,"AAAAAHtZ/9o=")</f>
        <v>#REF!</v>
      </c>
      <c r="HL36" t="e">
        <f>AND(#REF!,"AAAAAHtZ/9s=")</f>
        <v>#REF!</v>
      </c>
      <c r="HM36" t="e">
        <f>AND(#REF!,"AAAAAHtZ/9w=")</f>
        <v>#REF!</v>
      </c>
      <c r="HN36" t="e">
        <f>AND(#REF!,"AAAAAHtZ/90=")</f>
        <v>#REF!</v>
      </c>
      <c r="HO36" t="e">
        <f>AND(#REF!,"AAAAAHtZ/94=")</f>
        <v>#REF!</v>
      </c>
      <c r="HP36" t="e">
        <f>AND(#REF!,"AAAAAHtZ/98=")</f>
        <v>#REF!</v>
      </c>
      <c r="HQ36" t="e">
        <f>AND(#REF!,"AAAAAHtZ/+A=")</f>
        <v>#REF!</v>
      </c>
      <c r="HR36" t="e">
        <f>AND(#REF!,"AAAAAHtZ/+E=")</f>
        <v>#REF!</v>
      </c>
      <c r="HS36" t="e">
        <f>AND(#REF!,"AAAAAHtZ/+I=")</f>
        <v>#REF!</v>
      </c>
      <c r="HT36" t="e">
        <f>IF(#REF!,"AAAAAHtZ/+M=",0)</f>
        <v>#REF!</v>
      </c>
      <c r="HU36" t="e">
        <f>AND(#REF!,"AAAAAHtZ/+Q=")</f>
        <v>#REF!</v>
      </c>
      <c r="HV36" t="e">
        <f>AND(#REF!,"AAAAAHtZ/+U=")</f>
        <v>#REF!</v>
      </c>
      <c r="HW36" t="e">
        <f>AND(#REF!,"AAAAAHtZ/+Y=")</f>
        <v>#REF!</v>
      </c>
      <c r="HX36" t="e">
        <f>AND(#REF!,"AAAAAHtZ/+c=")</f>
        <v>#REF!</v>
      </c>
      <c r="HY36" t="e">
        <f>AND(#REF!,"AAAAAHtZ/+g=")</f>
        <v>#REF!</v>
      </c>
      <c r="HZ36" t="e">
        <f>AND(#REF!,"AAAAAHtZ/+k=")</f>
        <v>#REF!</v>
      </c>
      <c r="IA36" t="e">
        <f>AND(#REF!,"AAAAAHtZ/+o=")</f>
        <v>#REF!</v>
      </c>
      <c r="IB36" t="e">
        <f>AND(#REF!,"AAAAAHtZ/+s=")</f>
        <v>#REF!</v>
      </c>
      <c r="IC36" t="e">
        <f>AND(#REF!,"AAAAAHtZ/+w=")</f>
        <v>#REF!</v>
      </c>
      <c r="ID36" t="e">
        <f>AND(#REF!,"AAAAAHtZ/+0=")</f>
        <v>#REF!</v>
      </c>
      <c r="IE36" t="e">
        <f>IF(#REF!,"AAAAAHtZ/+4=",0)</f>
        <v>#REF!</v>
      </c>
      <c r="IF36" t="e">
        <f>AND(#REF!,"AAAAAHtZ/+8=")</f>
        <v>#REF!</v>
      </c>
      <c r="IG36" t="e">
        <f>AND(#REF!,"AAAAAHtZ//A=")</f>
        <v>#REF!</v>
      </c>
      <c r="IH36" t="e">
        <f>AND(#REF!,"AAAAAHtZ//E=")</f>
        <v>#REF!</v>
      </c>
      <c r="II36" t="e">
        <f>AND(#REF!,"AAAAAHtZ//I=")</f>
        <v>#REF!</v>
      </c>
      <c r="IJ36" t="e">
        <f>AND(#REF!,"AAAAAHtZ//M=")</f>
        <v>#REF!</v>
      </c>
      <c r="IK36" t="e">
        <f>AND(#REF!,"AAAAAHtZ//Q=")</f>
        <v>#REF!</v>
      </c>
      <c r="IL36" t="e">
        <f>AND(#REF!,"AAAAAHtZ//U=")</f>
        <v>#REF!</v>
      </c>
      <c r="IM36" t="e">
        <f>AND(#REF!,"AAAAAHtZ//Y=")</f>
        <v>#REF!</v>
      </c>
      <c r="IN36" t="e">
        <f>AND(#REF!,"AAAAAHtZ//c=")</f>
        <v>#REF!</v>
      </c>
      <c r="IO36" t="e">
        <f>AND(#REF!,"AAAAAHtZ//g=")</f>
        <v>#REF!</v>
      </c>
      <c r="IP36" t="e">
        <f>IF(#REF!,"AAAAAHtZ//k=",0)</f>
        <v>#REF!</v>
      </c>
      <c r="IQ36" t="e">
        <f>AND(#REF!,"AAAAAHtZ//o=")</f>
        <v>#REF!</v>
      </c>
      <c r="IR36" t="e">
        <f>AND(#REF!,"AAAAAHtZ//s=")</f>
        <v>#REF!</v>
      </c>
      <c r="IS36" t="e">
        <f>AND(#REF!,"AAAAAHtZ//w=")</f>
        <v>#REF!</v>
      </c>
      <c r="IT36" t="e">
        <f>AND(#REF!,"AAAAAHtZ//0=")</f>
        <v>#REF!</v>
      </c>
      <c r="IU36" t="e">
        <f>AND(#REF!,"AAAAAHtZ//4=")</f>
        <v>#REF!</v>
      </c>
      <c r="IV36" t="e">
        <f>AND(#REF!,"AAAAAHtZ//8=")</f>
        <v>#REF!</v>
      </c>
    </row>
    <row r="37" spans="1:256">
      <c r="A37" t="e">
        <f>AND(#REF!,"AAAAAH3v3QA=")</f>
        <v>#REF!</v>
      </c>
      <c r="B37" t="e">
        <f>AND(#REF!,"AAAAAH3v3QE=")</f>
        <v>#REF!</v>
      </c>
      <c r="C37" t="e">
        <f>AND(#REF!,"AAAAAH3v3QI=")</f>
        <v>#REF!</v>
      </c>
      <c r="D37" t="e">
        <f>AND(#REF!,"AAAAAH3v3QM=")</f>
        <v>#REF!</v>
      </c>
      <c r="E37" t="e">
        <f>IF(#REF!,"AAAAAH3v3QQ=",0)</f>
        <v>#REF!</v>
      </c>
      <c r="F37" t="e">
        <f>AND(#REF!,"AAAAAH3v3QU=")</f>
        <v>#REF!</v>
      </c>
      <c r="G37" t="e">
        <f>AND(#REF!,"AAAAAH3v3QY=")</f>
        <v>#REF!</v>
      </c>
      <c r="H37" t="e">
        <f>AND(#REF!,"AAAAAH3v3Qc=")</f>
        <v>#REF!</v>
      </c>
      <c r="I37" t="e">
        <f>AND(#REF!,"AAAAAH3v3Qg=")</f>
        <v>#REF!</v>
      </c>
      <c r="J37" t="e">
        <f>AND(#REF!,"AAAAAH3v3Qk=")</f>
        <v>#REF!</v>
      </c>
      <c r="K37" t="e">
        <f>AND(#REF!,"AAAAAH3v3Qo=")</f>
        <v>#REF!</v>
      </c>
      <c r="L37" t="e">
        <f>AND(#REF!,"AAAAAH3v3Qs=")</f>
        <v>#REF!</v>
      </c>
      <c r="M37" t="e">
        <f>AND(#REF!,"AAAAAH3v3Qw=")</f>
        <v>#REF!</v>
      </c>
      <c r="N37" t="e">
        <f>AND(#REF!,"AAAAAH3v3Q0=")</f>
        <v>#REF!</v>
      </c>
      <c r="O37" t="e">
        <f>AND(#REF!,"AAAAAH3v3Q4=")</f>
        <v>#REF!</v>
      </c>
      <c r="P37" t="e">
        <f>IF(#REF!,"AAAAAH3v3Q8=",0)</f>
        <v>#REF!</v>
      </c>
      <c r="Q37" t="e">
        <f>AND(#REF!,"AAAAAH3v3RA=")</f>
        <v>#REF!</v>
      </c>
      <c r="R37" t="e">
        <f>AND(#REF!,"AAAAAH3v3RE=")</f>
        <v>#REF!</v>
      </c>
      <c r="S37" t="e">
        <f>AND(#REF!,"AAAAAH3v3RI=")</f>
        <v>#REF!</v>
      </c>
      <c r="T37" t="e">
        <f>AND(#REF!,"AAAAAH3v3RM=")</f>
        <v>#REF!</v>
      </c>
      <c r="U37" t="e">
        <f>AND(#REF!,"AAAAAH3v3RQ=")</f>
        <v>#REF!</v>
      </c>
      <c r="V37" t="e">
        <f>AND(#REF!,"AAAAAH3v3RU=")</f>
        <v>#REF!</v>
      </c>
      <c r="W37" t="e">
        <f>AND(#REF!,"AAAAAH3v3RY=")</f>
        <v>#REF!</v>
      </c>
      <c r="X37" t="e">
        <f>AND(#REF!,"AAAAAH3v3Rc=")</f>
        <v>#REF!</v>
      </c>
      <c r="Y37" t="e">
        <f>AND(#REF!,"AAAAAH3v3Rg=")</f>
        <v>#REF!</v>
      </c>
      <c r="Z37" t="e">
        <f>AND(#REF!,"AAAAAH3v3Rk=")</f>
        <v>#REF!</v>
      </c>
      <c r="AA37" t="e">
        <f>IF(#REF!,"AAAAAH3v3Ro=",0)</f>
        <v>#REF!</v>
      </c>
      <c r="AB37" t="e">
        <f>AND(#REF!,"AAAAAH3v3Rs=")</f>
        <v>#REF!</v>
      </c>
      <c r="AC37" t="e">
        <f>AND(#REF!,"AAAAAH3v3Rw=")</f>
        <v>#REF!</v>
      </c>
      <c r="AD37" t="e">
        <f>AND(#REF!,"AAAAAH3v3R0=")</f>
        <v>#REF!</v>
      </c>
      <c r="AE37" t="e">
        <f>AND(#REF!,"AAAAAH3v3R4=")</f>
        <v>#REF!</v>
      </c>
      <c r="AF37" t="e">
        <f>AND(#REF!,"AAAAAH3v3R8=")</f>
        <v>#REF!</v>
      </c>
      <c r="AG37" t="e">
        <f>AND(#REF!,"AAAAAH3v3SA=")</f>
        <v>#REF!</v>
      </c>
      <c r="AH37" t="e">
        <f>AND(#REF!,"AAAAAH3v3SE=")</f>
        <v>#REF!</v>
      </c>
      <c r="AI37" t="e">
        <f>AND(#REF!,"AAAAAH3v3SI=")</f>
        <v>#REF!</v>
      </c>
      <c r="AJ37" t="e">
        <f>AND(#REF!,"AAAAAH3v3SM=")</f>
        <v>#REF!</v>
      </c>
      <c r="AK37" t="e">
        <f>AND(#REF!,"AAAAAH3v3SQ=")</f>
        <v>#REF!</v>
      </c>
      <c r="AL37" t="e">
        <f>IF(#REF!,"AAAAAH3v3SU=",0)</f>
        <v>#REF!</v>
      </c>
      <c r="AM37" t="e">
        <f>AND(#REF!,"AAAAAH3v3SY=")</f>
        <v>#REF!</v>
      </c>
      <c r="AN37" t="e">
        <f>AND(#REF!,"AAAAAH3v3Sc=")</f>
        <v>#REF!</v>
      </c>
      <c r="AO37" t="e">
        <f>AND(#REF!,"AAAAAH3v3Sg=")</f>
        <v>#REF!</v>
      </c>
      <c r="AP37" t="e">
        <f>AND(#REF!,"AAAAAH3v3Sk=")</f>
        <v>#REF!</v>
      </c>
      <c r="AQ37" t="e">
        <f>AND(#REF!,"AAAAAH3v3So=")</f>
        <v>#REF!</v>
      </c>
      <c r="AR37" t="e">
        <f>AND(#REF!,"AAAAAH3v3Ss=")</f>
        <v>#REF!</v>
      </c>
      <c r="AS37" t="e">
        <f>AND(#REF!,"AAAAAH3v3Sw=")</f>
        <v>#REF!</v>
      </c>
      <c r="AT37" t="e">
        <f>AND(#REF!,"AAAAAH3v3S0=")</f>
        <v>#REF!</v>
      </c>
      <c r="AU37" t="e">
        <f>AND(#REF!,"AAAAAH3v3S4=")</f>
        <v>#REF!</v>
      </c>
      <c r="AV37" t="e">
        <f>AND(#REF!,"AAAAAH3v3S8=")</f>
        <v>#REF!</v>
      </c>
      <c r="AW37" t="e">
        <f>IF(#REF!,"AAAAAH3v3TA=",0)</f>
        <v>#REF!</v>
      </c>
      <c r="AX37" t="e">
        <f>AND(#REF!,"AAAAAH3v3TE=")</f>
        <v>#REF!</v>
      </c>
      <c r="AY37" t="e">
        <f>AND(#REF!,"AAAAAH3v3TI=")</f>
        <v>#REF!</v>
      </c>
      <c r="AZ37" t="e">
        <f>AND(#REF!,"AAAAAH3v3TM=")</f>
        <v>#REF!</v>
      </c>
      <c r="BA37" t="e">
        <f>AND(#REF!,"AAAAAH3v3TQ=")</f>
        <v>#REF!</v>
      </c>
      <c r="BB37" t="e">
        <f>AND(#REF!,"AAAAAH3v3TU=")</f>
        <v>#REF!</v>
      </c>
      <c r="BC37" t="e">
        <f>AND(#REF!,"AAAAAH3v3TY=")</f>
        <v>#REF!</v>
      </c>
      <c r="BD37" t="e">
        <f>AND(#REF!,"AAAAAH3v3Tc=")</f>
        <v>#REF!</v>
      </c>
      <c r="BE37" t="e">
        <f>AND(#REF!,"AAAAAH3v3Tg=")</f>
        <v>#REF!</v>
      </c>
      <c r="BF37" t="e">
        <f>AND(#REF!,"AAAAAH3v3Tk=")</f>
        <v>#REF!</v>
      </c>
      <c r="BG37" t="e">
        <f>AND(#REF!,"AAAAAH3v3To=")</f>
        <v>#REF!</v>
      </c>
      <c r="BH37" t="e">
        <f>IF(#REF!,"AAAAAH3v3Ts=",0)</f>
        <v>#REF!</v>
      </c>
      <c r="BI37" t="e">
        <f>AND(#REF!,"AAAAAH3v3Tw=")</f>
        <v>#REF!</v>
      </c>
      <c r="BJ37" t="e">
        <f>AND(#REF!,"AAAAAH3v3T0=")</f>
        <v>#REF!</v>
      </c>
      <c r="BK37" t="e">
        <f>AND(#REF!,"AAAAAH3v3T4=")</f>
        <v>#REF!</v>
      </c>
      <c r="BL37" t="e">
        <f>AND(#REF!,"AAAAAH3v3T8=")</f>
        <v>#REF!</v>
      </c>
      <c r="BM37" t="e">
        <f>AND(#REF!,"AAAAAH3v3UA=")</f>
        <v>#REF!</v>
      </c>
      <c r="BN37" t="e">
        <f>AND(#REF!,"AAAAAH3v3UE=")</f>
        <v>#REF!</v>
      </c>
      <c r="BO37" t="e">
        <f>AND(#REF!,"AAAAAH3v3UI=")</f>
        <v>#REF!</v>
      </c>
      <c r="BP37" t="e">
        <f>AND(#REF!,"AAAAAH3v3UM=")</f>
        <v>#REF!</v>
      </c>
      <c r="BQ37" t="e">
        <f>AND(#REF!,"AAAAAH3v3UQ=")</f>
        <v>#REF!</v>
      </c>
      <c r="BR37" t="e">
        <f>AND(#REF!,"AAAAAH3v3UU=")</f>
        <v>#REF!</v>
      </c>
      <c r="BS37" t="e">
        <f>IF(#REF!,"AAAAAH3v3UY=",0)</f>
        <v>#REF!</v>
      </c>
      <c r="BT37" t="e">
        <f>AND(#REF!,"AAAAAH3v3Uc=")</f>
        <v>#REF!</v>
      </c>
      <c r="BU37" t="e">
        <f>AND(#REF!,"AAAAAH3v3Ug=")</f>
        <v>#REF!</v>
      </c>
      <c r="BV37" t="e">
        <f>AND(#REF!,"AAAAAH3v3Uk=")</f>
        <v>#REF!</v>
      </c>
      <c r="BW37" t="e">
        <f>AND(#REF!,"AAAAAH3v3Uo=")</f>
        <v>#REF!</v>
      </c>
      <c r="BX37" t="e">
        <f>AND(#REF!,"AAAAAH3v3Us=")</f>
        <v>#REF!</v>
      </c>
      <c r="BY37" t="e">
        <f>AND(#REF!,"AAAAAH3v3Uw=")</f>
        <v>#REF!</v>
      </c>
      <c r="BZ37" t="e">
        <f>AND(#REF!,"AAAAAH3v3U0=")</f>
        <v>#REF!</v>
      </c>
      <c r="CA37" t="e">
        <f>AND(#REF!,"AAAAAH3v3U4=")</f>
        <v>#REF!</v>
      </c>
      <c r="CB37" t="e">
        <f>AND(#REF!,"AAAAAH3v3U8=")</f>
        <v>#REF!</v>
      </c>
      <c r="CC37" t="e">
        <f>AND(#REF!,"AAAAAH3v3VA=")</f>
        <v>#REF!</v>
      </c>
      <c r="CD37" t="e">
        <f>IF(#REF!,"AAAAAH3v3VE=",0)</f>
        <v>#REF!</v>
      </c>
      <c r="CE37" t="e">
        <f>AND(#REF!,"AAAAAH3v3VI=")</f>
        <v>#REF!</v>
      </c>
      <c r="CF37" t="e">
        <f>AND(#REF!,"AAAAAH3v3VM=")</f>
        <v>#REF!</v>
      </c>
      <c r="CG37" t="e">
        <f>AND(#REF!,"AAAAAH3v3VQ=")</f>
        <v>#REF!</v>
      </c>
      <c r="CH37" t="e">
        <f>AND(#REF!,"AAAAAH3v3VU=")</f>
        <v>#REF!</v>
      </c>
      <c r="CI37" t="e">
        <f>AND(#REF!,"AAAAAH3v3VY=")</f>
        <v>#REF!</v>
      </c>
      <c r="CJ37" t="e">
        <f>AND(#REF!,"AAAAAH3v3Vc=")</f>
        <v>#REF!</v>
      </c>
      <c r="CK37" t="e">
        <f>AND(#REF!,"AAAAAH3v3Vg=")</f>
        <v>#REF!</v>
      </c>
      <c r="CL37" t="e">
        <f>AND(#REF!,"AAAAAH3v3Vk=")</f>
        <v>#REF!</v>
      </c>
      <c r="CM37" t="e">
        <f>AND(#REF!,"AAAAAH3v3Vo=")</f>
        <v>#REF!</v>
      </c>
      <c r="CN37" t="e">
        <f>AND(#REF!,"AAAAAH3v3Vs=")</f>
        <v>#REF!</v>
      </c>
      <c r="CO37" t="e">
        <f>IF(#REF!,"AAAAAH3v3Vw=",0)</f>
        <v>#REF!</v>
      </c>
      <c r="CP37" t="e">
        <f>AND(#REF!,"AAAAAH3v3V0=")</f>
        <v>#REF!</v>
      </c>
      <c r="CQ37" t="e">
        <f>AND(#REF!,"AAAAAH3v3V4=")</f>
        <v>#REF!</v>
      </c>
      <c r="CR37" t="e">
        <f>AND(#REF!,"AAAAAH3v3V8=")</f>
        <v>#REF!</v>
      </c>
      <c r="CS37" t="e">
        <f>AND(#REF!,"AAAAAH3v3WA=")</f>
        <v>#REF!</v>
      </c>
      <c r="CT37" t="e">
        <f>AND(#REF!,"AAAAAH3v3WE=")</f>
        <v>#REF!</v>
      </c>
      <c r="CU37" t="e">
        <f>AND(#REF!,"AAAAAH3v3WI=")</f>
        <v>#REF!</v>
      </c>
      <c r="CV37" t="e">
        <f>AND(#REF!,"AAAAAH3v3WM=")</f>
        <v>#REF!</v>
      </c>
      <c r="CW37" t="e">
        <f>AND(#REF!,"AAAAAH3v3WQ=")</f>
        <v>#REF!</v>
      </c>
      <c r="CX37" t="e">
        <f>AND(#REF!,"AAAAAH3v3WU=")</f>
        <v>#REF!</v>
      </c>
      <c r="CY37" t="e">
        <f>AND(#REF!,"AAAAAH3v3WY=")</f>
        <v>#REF!</v>
      </c>
      <c r="CZ37" t="e">
        <f>IF(#REF!,"AAAAAH3v3Wc=",0)</f>
        <v>#REF!</v>
      </c>
      <c r="DA37" t="e">
        <f>AND(#REF!,"AAAAAH3v3Wg=")</f>
        <v>#REF!</v>
      </c>
      <c r="DB37" t="e">
        <f>AND(#REF!,"AAAAAH3v3Wk=")</f>
        <v>#REF!</v>
      </c>
      <c r="DC37" t="e">
        <f>AND(#REF!,"AAAAAH3v3Wo=")</f>
        <v>#REF!</v>
      </c>
      <c r="DD37" t="e">
        <f>AND(#REF!,"AAAAAH3v3Ws=")</f>
        <v>#REF!</v>
      </c>
      <c r="DE37" t="e">
        <f>AND(#REF!,"AAAAAH3v3Ww=")</f>
        <v>#REF!</v>
      </c>
      <c r="DF37" t="e">
        <f>AND(#REF!,"AAAAAH3v3W0=")</f>
        <v>#REF!</v>
      </c>
      <c r="DG37" t="e">
        <f>AND(#REF!,"AAAAAH3v3W4=")</f>
        <v>#REF!</v>
      </c>
      <c r="DH37" t="e">
        <f>AND(#REF!,"AAAAAH3v3W8=")</f>
        <v>#REF!</v>
      </c>
      <c r="DI37" t="e">
        <f>AND(#REF!,"AAAAAH3v3XA=")</f>
        <v>#REF!</v>
      </c>
      <c r="DJ37" t="e">
        <f>AND(#REF!,"AAAAAH3v3XE=")</f>
        <v>#REF!</v>
      </c>
      <c r="DK37" t="e">
        <f>IF(#REF!,"AAAAAH3v3XI=",0)</f>
        <v>#REF!</v>
      </c>
      <c r="DL37" t="e">
        <f>AND(#REF!,"AAAAAH3v3XM=")</f>
        <v>#REF!</v>
      </c>
      <c r="DM37" t="e">
        <f>AND(#REF!,"AAAAAH3v3XQ=")</f>
        <v>#REF!</v>
      </c>
      <c r="DN37" t="e">
        <f>AND(#REF!,"AAAAAH3v3XU=")</f>
        <v>#REF!</v>
      </c>
      <c r="DO37" t="e">
        <f>AND(#REF!,"AAAAAH3v3XY=")</f>
        <v>#REF!</v>
      </c>
      <c r="DP37" t="e">
        <f>AND(#REF!,"AAAAAH3v3Xc=")</f>
        <v>#REF!</v>
      </c>
      <c r="DQ37" t="e">
        <f>AND(#REF!,"AAAAAH3v3Xg=")</f>
        <v>#REF!</v>
      </c>
      <c r="DR37" t="e">
        <f>AND(#REF!,"AAAAAH3v3Xk=")</f>
        <v>#REF!</v>
      </c>
      <c r="DS37" t="e">
        <f>AND(#REF!,"AAAAAH3v3Xo=")</f>
        <v>#REF!</v>
      </c>
      <c r="DT37" t="e">
        <f>AND(#REF!,"AAAAAH3v3Xs=")</f>
        <v>#REF!</v>
      </c>
      <c r="DU37" t="e">
        <f>AND(#REF!,"AAAAAH3v3Xw=")</f>
        <v>#REF!</v>
      </c>
      <c r="DV37" t="e">
        <f>IF(#REF!,"AAAAAH3v3X0=",0)</f>
        <v>#REF!</v>
      </c>
      <c r="DW37" t="e">
        <f>AND(#REF!,"AAAAAH3v3X4=")</f>
        <v>#REF!</v>
      </c>
      <c r="DX37" t="e">
        <f>AND(#REF!,"AAAAAH3v3X8=")</f>
        <v>#REF!</v>
      </c>
      <c r="DY37" t="e">
        <f>AND(#REF!,"AAAAAH3v3YA=")</f>
        <v>#REF!</v>
      </c>
      <c r="DZ37" t="e">
        <f>AND(#REF!,"AAAAAH3v3YE=")</f>
        <v>#REF!</v>
      </c>
      <c r="EA37" t="e">
        <f>AND(#REF!,"AAAAAH3v3YI=")</f>
        <v>#REF!</v>
      </c>
      <c r="EB37" t="e">
        <f>AND(#REF!,"AAAAAH3v3YM=")</f>
        <v>#REF!</v>
      </c>
      <c r="EC37" t="e">
        <f>AND(#REF!,"AAAAAH3v3YQ=")</f>
        <v>#REF!</v>
      </c>
      <c r="ED37" t="e">
        <f>AND(#REF!,"AAAAAH3v3YU=")</f>
        <v>#REF!</v>
      </c>
      <c r="EE37" t="e">
        <f>AND(#REF!,"AAAAAH3v3YY=")</f>
        <v>#REF!</v>
      </c>
      <c r="EF37" t="e">
        <f>AND(#REF!,"AAAAAH3v3Yc=")</f>
        <v>#REF!</v>
      </c>
      <c r="EG37" t="e">
        <f>IF(#REF!,"AAAAAH3v3Yg=",0)</f>
        <v>#REF!</v>
      </c>
      <c r="EH37" t="e">
        <f>AND(#REF!,"AAAAAH3v3Yk=")</f>
        <v>#REF!</v>
      </c>
      <c r="EI37" t="e">
        <f>AND(#REF!,"AAAAAH3v3Yo=")</f>
        <v>#REF!</v>
      </c>
      <c r="EJ37" t="e">
        <f>AND(#REF!,"AAAAAH3v3Ys=")</f>
        <v>#REF!</v>
      </c>
      <c r="EK37" t="e">
        <f>AND(#REF!,"AAAAAH3v3Yw=")</f>
        <v>#REF!</v>
      </c>
      <c r="EL37" t="e">
        <f>AND(#REF!,"AAAAAH3v3Y0=")</f>
        <v>#REF!</v>
      </c>
      <c r="EM37" t="e">
        <f>AND(#REF!,"AAAAAH3v3Y4=")</f>
        <v>#REF!</v>
      </c>
      <c r="EN37" t="e">
        <f>AND(#REF!,"AAAAAH3v3Y8=")</f>
        <v>#REF!</v>
      </c>
      <c r="EO37" t="e">
        <f>AND(#REF!,"AAAAAH3v3ZA=")</f>
        <v>#REF!</v>
      </c>
      <c r="EP37" t="e">
        <f>AND(#REF!,"AAAAAH3v3ZE=")</f>
        <v>#REF!</v>
      </c>
      <c r="EQ37" t="e">
        <f>AND(#REF!,"AAAAAH3v3ZI=")</f>
        <v>#REF!</v>
      </c>
      <c r="ER37" t="e">
        <f>IF(#REF!,"AAAAAH3v3ZM=",0)</f>
        <v>#REF!</v>
      </c>
      <c r="ES37" t="e">
        <f>AND(#REF!,"AAAAAH3v3ZQ=")</f>
        <v>#REF!</v>
      </c>
      <c r="ET37" t="e">
        <f>AND(#REF!,"AAAAAH3v3ZU=")</f>
        <v>#REF!</v>
      </c>
      <c r="EU37" t="e">
        <f>AND(#REF!,"AAAAAH3v3ZY=")</f>
        <v>#REF!</v>
      </c>
      <c r="EV37" t="e">
        <f>AND(#REF!,"AAAAAH3v3Zc=")</f>
        <v>#REF!</v>
      </c>
      <c r="EW37" t="e">
        <f>AND(#REF!,"AAAAAH3v3Zg=")</f>
        <v>#REF!</v>
      </c>
      <c r="EX37" t="e">
        <f>AND(#REF!,"AAAAAH3v3Zk=")</f>
        <v>#REF!</v>
      </c>
      <c r="EY37" t="e">
        <f>AND(#REF!,"AAAAAH3v3Zo=")</f>
        <v>#REF!</v>
      </c>
      <c r="EZ37" t="e">
        <f>AND(#REF!,"AAAAAH3v3Zs=")</f>
        <v>#REF!</v>
      </c>
      <c r="FA37" t="e">
        <f>AND(#REF!,"AAAAAH3v3Zw=")</f>
        <v>#REF!</v>
      </c>
      <c r="FB37" t="e">
        <f>AND(#REF!,"AAAAAH3v3Z0=")</f>
        <v>#REF!</v>
      </c>
      <c r="FC37" t="e">
        <f>IF(#REF!,"AAAAAH3v3Z4=",0)</f>
        <v>#REF!</v>
      </c>
      <c r="FD37" t="e">
        <f>AND(#REF!,"AAAAAH3v3Z8=")</f>
        <v>#REF!</v>
      </c>
      <c r="FE37" t="e">
        <f>AND(#REF!,"AAAAAH3v3aA=")</f>
        <v>#REF!</v>
      </c>
      <c r="FF37" t="e">
        <f>AND(#REF!,"AAAAAH3v3aE=")</f>
        <v>#REF!</v>
      </c>
      <c r="FG37" t="e">
        <f>AND(#REF!,"AAAAAH3v3aI=")</f>
        <v>#REF!</v>
      </c>
      <c r="FH37" t="e">
        <f>AND(#REF!,"AAAAAH3v3aM=")</f>
        <v>#REF!</v>
      </c>
      <c r="FI37" t="e">
        <f>AND(#REF!,"AAAAAH3v3aQ=")</f>
        <v>#REF!</v>
      </c>
      <c r="FJ37" t="e">
        <f>AND(#REF!,"AAAAAH3v3aU=")</f>
        <v>#REF!</v>
      </c>
      <c r="FK37" t="e">
        <f>AND(#REF!,"AAAAAH3v3aY=")</f>
        <v>#REF!</v>
      </c>
      <c r="FL37" t="e">
        <f>AND(#REF!,"AAAAAH3v3ac=")</f>
        <v>#REF!</v>
      </c>
      <c r="FM37" t="e">
        <f>AND(#REF!,"AAAAAH3v3ag=")</f>
        <v>#REF!</v>
      </c>
      <c r="FN37" t="e">
        <f>IF(#REF!,"AAAAAH3v3ak=",0)</f>
        <v>#REF!</v>
      </c>
      <c r="FO37" t="e">
        <f>AND(#REF!,"AAAAAH3v3ao=")</f>
        <v>#REF!</v>
      </c>
      <c r="FP37" t="e">
        <f>AND(#REF!,"AAAAAH3v3as=")</f>
        <v>#REF!</v>
      </c>
      <c r="FQ37" t="e">
        <f>AND(#REF!,"AAAAAH3v3aw=")</f>
        <v>#REF!</v>
      </c>
      <c r="FR37" t="e">
        <f>AND(#REF!,"AAAAAH3v3a0=")</f>
        <v>#REF!</v>
      </c>
      <c r="FS37" t="e">
        <f>AND(#REF!,"AAAAAH3v3a4=")</f>
        <v>#REF!</v>
      </c>
      <c r="FT37" t="e">
        <f>AND(#REF!,"AAAAAH3v3a8=")</f>
        <v>#REF!</v>
      </c>
      <c r="FU37" t="e">
        <f>AND(#REF!,"AAAAAH3v3bA=")</f>
        <v>#REF!</v>
      </c>
      <c r="FV37" t="e">
        <f>AND(#REF!,"AAAAAH3v3bE=")</f>
        <v>#REF!</v>
      </c>
      <c r="FW37" t="e">
        <f>AND(#REF!,"AAAAAH3v3bI=")</f>
        <v>#REF!</v>
      </c>
      <c r="FX37" t="e">
        <f>AND(#REF!,"AAAAAH3v3bM=")</f>
        <v>#REF!</v>
      </c>
      <c r="FY37" t="e">
        <f>IF(#REF!,"AAAAAH3v3bQ=",0)</f>
        <v>#REF!</v>
      </c>
      <c r="FZ37" t="e">
        <f>AND(#REF!,"AAAAAH3v3bU=")</f>
        <v>#REF!</v>
      </c>
      <c r="GA37" t="e">
        <f>AND(#REF!,"AAAAAH3v3bY=")</f>
        <v>#REF!</v>
      </c>
      <c r="GB37" t="e">
        <f>AND(#REF!,"AAAAAH3v3bc=")</f>
        <v>#REF!</v>
      </c>
      <c r="GC37" t="e">
        <f>AND(#REF!,"AAAAAH3v3bg=")</f>
        <v>#REF!</v>
      </c>
      <c r="GD37" t="e">
        <f>AND(#REF!,"AAAAAH3v3bk=")</f>
        <v>#REF!</v>
      </c>
      <c r="GE37" t="e">
        <f>AND(#REF!,"AAAAAH3v3bo=")</f>
        <v>#REF!</v>
      </c>
      <c r="GF37" t="e">
        <f>AND(#REF!,"AAAAAH3v3bs=")</f>
        <v>#REF!</v>
      </c>
      <c r="GG37" t="e">
        <f>AND(#REF!,"AAAAAH3v3bw=")</f>
        <v>#REF!</v>
      </c>
      <c r="GH37" t="e">
        <f>AND(#REF!,"AAAAAH3v3b0=")</f>
        <v>#REF!</v>
      </c>
      <c r="GI37" t="e">
        <f>AND(#REF!,"AAAAAH3v3b4=")</f>
        <v>#REF!</v>
      </c>
      <c r="GJ37" t="e">
        <f>IF(#REF!,"AAAAAH3v3b8=",0)</f>
        <v>#REF!</v>
      </c>
      <c r="GK37" t="e">
        <f>AND(#REF!,"AAAAAH3v3cA=")</f>
        <v>#REF!</v>
      </c>
      <c r="GL37" t="e">
        <f>AND(#REF!,"AAAAAH3v3cE=")</f>
        <v>#REF!</v>
      </c>
      <c r="GM37" t="e">
        <f>AND(#REF!,"AAAAAH3v3cI=")</f>
        <v>#REF!</v>
      </c>
      <c r="GN37" t="e">
        <f>AND(#REF!,"AAAAAH3v3cM=")</f>
        <v>#REF!</v>
      </c>
      <c r="GO37" t="e">
        <f>AND(#REF!,"AAAAAH3v3cQ=")</f>
        <v>#REF!</v>
      </c>
      <c r="GP37" t="e">
        <f>AND(#REF!,"AAAAAH3v3cU=")</f>
        <v>#REF!</v>
      </c>
      <c r="GQ37" t="e">
        <f>AND(#REF!,"AAAAAH3v3cY=")</f>
        <v>#REF!</v>
      </c>
      <c r="GR37" t="e">
        <f>AND(#REF!,"AAAAAH3v3cc=")</f>
        <v>#REF!</v>
      </c>
      <c r="GS37" t="e">
        <f>AND(#REF!,"AAAAAH3v3cg=")</f>
        <v>#REF!</v>
      </c>
      <c r="GT37" t="e">
        <f>AND(#REF!,"AAAAAH3v3ck=")</f>
        <v>#REF!</v>
      </c>
      <c r="GU37" t="e">
        <f>IF(#REF!,"AAAAAH3v3co=",0)</f>
        <v>#REF!</v>
      </c>
      <c r="GV37" t="e">
        <f>AND(#REF!,"AAAAAH3v3cs=")</f>
        <v>#REF!</v>
      </c>
      <c r="GW37" t="e">
        <f>AND(#REF!,"AAAAAH3v3cw=")</f>
        <v>#REF!</v>
      </c>
      <c r="GX37" t="e">
        <f>AND(#REF!,"AAAAAH3v3c0=")</f>
        <v>#REF!</v>
      </c>
      <c r="GY37" t="e">
        <f>AND(#REF!,"AAAAAH3v3c4=")</f>
        <v>#REF!</v>
      </c>
      <c r="GZ37" t="e">
        <f>AND(#REF!,"AAAAAH3v3c8=")</f>
        <v>#REF!</v>
      </c>
      <c r="HA37" t="e">
        <f>AND(#REF!,"AAAAAH3v3dA=")</f>
        <v>#REF!</v>
      </c>
      <c r="HB37" t="e">
        <f>AND(#REF!,"AAAAAH3v3dE=")</f>
        <v>#REF!</v>
      </c>
      <c r="HC37" t="e">
        <f>AND(#REF!,"AAAAAH3v3dI=")</f>
        <v>#REF!</v>
      </c>
      <c r="HD37" t="e">
        <f>AND(#REF!,"AAAAAH3v3dM=")</f>
        <v>#REF!</v>
      </c>
      <c r="HE37" t="e">
        <f>AND(#REF!,"AAAAAH3v3dQ=")</f>
        <v>#REF!</v>
      </c>
      <c r="HF37" t="e">
        <f>IF(#REF!,"AAAAAH3v3dU=",0)</f>
        <v>#REF!</v>
      </c>
      <c r="HG37" t="e">
        <f>AND(#REF!,"AAAAAH3v3dY=")</f>
        <v>#REF!</v>
      </c>
      <c r="HH37" t="e">
        <f>AND(#REF!,"AAAAAH3v3dc=")</f>
        <v>#REF!</v>
      </c>
      <c r="HI37" t="e">
        <f>AND(#REF!,"AAAAAH3v3dg=")</f>
        <v>#REF!</v>
      </c>
      <c r="HJ37" t="e">
        <f>AND(#REF!,"AAAAAH3v3dk=")</f>
        <v>#REF!</v>
      </c>
      <c r="HK37" t="e">
        <f>AND(#REF!,"AAAAAH3v3do=")</f>
        <v>#REF!</v>
      </c>
      <c r="HL37" t="e">
        <f>AND(#REF!,"AAAAAH3v3ds=")</f>
        <v>#REF!</v>
      </c>
      <c r="HM37" t="e">
        <f>AND(#REF!,"AAAAAH3v3dw=")</f>
        <v>#REF!</v>
      </c>
      <c r="HN37" t="e">
        <f>AND(#REF!,"AAAAAH3v3d0=")</f>
        <v>#REF!</v>
      </c>
      <c r="HO37" t="e">
        <f>AND(#REF!,"AAAAAH3v3d4=")</f>
        <v>#REF!</v>
      </c>
      <c r="HP37" t="e">
        <f>AND(#REF!,"AAAAAH3v3d8=")</f>
        <v>#REF!</v>
      </c>
      <c r="HQ37" t="e">
        <f>IF(#REF!,"AAAAAH3v3eA=",0)</f>
        <v>#REF!</v>
      </c>
      <c r="HR37" t="e">
        <f>AND(#REF!,"AAAAAH3v3eE=")</f>
        <v>#REF!</v>
      </c>
      <c r="HS37" t="e">
        <f>AND(#REF!,"AAAAAH3v3eI=")</f>
        <v>#REF!</v>
      </c>
      <c r="HT37" t="e">
        <f>AND(#REF!,"AAAAAH3v3eM=")</f>
        <v>#REF!</v>
      </c>
      <c r="HU37" t="e">
        <f>AND(#REF!,"AAAAAH3v3eQ=")</f>
        <v>#REF!</v>
      </c>
      <c r="HV37" t="e">
        <f>AND(#REF!,"AAAAAH3v3eU=")</f>
        <v>#REF!</v>
      </c>
      <c r="HW37" t="e">
        <f>AND(#REF!,"AAAAAH3v3eY=")</f>
        <v>#REF!</v>
      </c>
      <c r="HX37" t="e">
        <f>AND(#REF!,"AAAAAH3v3ec=")</f>
        <v>#REF!</v>
      </c>
      <c r="HY37" t="e">
        <f>AND(#REF!,"AAAAAH3v3eg=")</f>
        <v>#REF!</v>
      </c>
      <c r="HZ37" t="e">
        <f>AND(#REF!,"AAAAAH3v3ek=")</f>
        <v>#REF!</v>
      </c>
      <c r="IA37" t="e">
        <f>AND(#REF!,"AAAAAH3v3eo=")</f>
        <v>#REF!</v>
      </c>
      <c r="IB37" t="e">
        <f>IF(#REF!,"AAAAAH3v3es=",0)</f>
        <v>#REF!</v>
      </c>
      <c r="IC37" t="e">
        <f>AND(#REF!,"AAAAAH3v3ew=")</f>
        <v>#REF!</v>
      </c>
      <c r="ID37" t="e">
        <f>AND(#REF!,"AAAAAH3v3e0=")</f>
        <v>#REF!</v>
      </c>
      <c r="IE37" t="e">
        <f>AND(#REF!,"AAAAAH3v3e4=")</f>
        <v>#REF!</v>
      </c>
      <c r="IF37" t="e">
        <f>AND(#REF!,"AAAAAH3v3e8=")</f>
        <v>#REF!</v>
      </c>
      <c r="IG37" t="e">
        <f>AND(#REF!,"AAAAAH3v3fA=")</f>
        <v>#REF!</v>
      </c>
      <c r="IH37" t="e">
        <f>AND(#REF!,"AAAAAH3v3fE=")</f>
        <v>#REF!</v>
      </c>
      <c r="II37" t="e">
        <f>AND(#REF!,"AAAAAH3v3fI=")</f>
        <v>#REF!</v>
      </c>
      <c r="IJ37" t="e">
        <f>AND(#REF!,"AAAAAH3v3fM=")</f>
        <v>#REF!</v>
      </c>
      <c r="IK37" t="e">
        <f>AND(#REF!,"AAAAAH3v3fQ=")</f>
        <v>#REF!</v>
      </c>
      <c r="IL37" t="e">
        <f>AND(#REF!,"AAAAAH3v3fU=")</f>
        <v>#REF!</v>
      </c>
      <c r="IM37" t="e">
        <f>IF(#REF!,"AAAAAH3v3fY=",0)</f>
        <v>#REF!</v>
      </c>
      <c r="IN37" t="e">
        <f>AND(#REF!,"AAAAAH3v3fc=")</f>
        <v>#REF!</v>
      </c>
      <c r="IO37" t="e">
        <f>AND(#REF!,"AAAAAH3v3fg=")</f>
        <v>#REF!</v>
      </c>
      <c r="IP37" t="e">
        <f>AND(#REF!,"AAAAAH3v3fk=")</f>
        <v>#REF!</v>
      </c>
      <c r="IQ37" t="e">
        <f>AND(#REF!,"AAAAAH3v3fo=")</f>
        <v>#REF!</v>
      </c>
      <c r="IR37" t="e">
        <f>AND(#REF!,"AAAAAH3v3fs=")</f>
        <v>#REF!</v>
      </c>
      <c r="IS37" t="e">
        <f>AND(#REF!,"AAAAAH3v3fw=")</f>
        <v>#REF!</v>
      </c>
      <c r="IT37" t="e">
        <f>AND(#REF!,"AAAAAH3v3f0=")</f>
        <v>#REF!</v>
      </c>
      <c r="IU37" t="e">
        <f>AND(#REF!,"AAAAAH3v3f4=")</f>
        <v>#REF!</v>
      </c>
      <c r="IV37" t="e">
        <f>AND(#REF!,"AAAAAH3v3f8=")</f>
        <v>#REF!</v>
      </c>
    </row>
    <row r="38" spans="1:256">
      <c r="A38" t="e">
        <f>AND(#REF!,"AAAAAHf/rQA=")</f>
        <v>#REF!</v>
      </c>
      <c r="B38" t="e">
        <f>IF(#REF!,"AAAAAHf/rQE=",0)</f>
        <v>#REF!</v>
      </c>
      <c r="C38" t="e">
        <f>AND(#REF!,"AAAAAHf/rQI=")</f>
        <v>#REF!</v>
      </c>
      <c r="D38" t="e">
        <f>AND(#REF!,"AAAAAHf/rQM=")</f>
        <v>#REF!</v>
      </c>
      <c r="E38" t="e">
        <f>AND(#REF!,"AAAAAHf/rQQ=")</f>
        <v>#REF!</v>
      </c>
      <c r="F38" t="e">
        <f>AND(#REF!,"AAAAAHf/rQU=")</f>
        <v>#REF!</v>
      </c>
      <c r="G38" t="e">
        <f>AND(#REF!,"AAAAAHf/rQY=")</f>
        <v>#REF!</v>
      </c>
      <c r="H38" t="e">
        <f>AND(#REF!,"AAAAAHf/rQc=")</f>
        <v>#REF!</v>
      </c>
      <c r="I38" t="e">
        <f>AND(#REF!,"AAAAAHf/rQg=")</f>
        <v>#REF!</v>
      </c>
      <c r="J38" t="e">
        <f>AND(#REF!,"AAAAAHf/rQk=")</f>
        <v>#REF!</v>
      </c>
      <c r="K38" t="e">
        <f>AND(#REF!,"AAAAAHf/rQo=")</f>
        <v>#REF!</v>
      </c>
      <c r="L38" t="e">
        <f>AND(#REF!,"AAAAAHf/rQs=")</f>
        <v>#REF!</v>
      </c>
      <c r="M38" t="e">
        <f>IF(#REF!,"AAAAAHf/rQw=",0)</f>
        <v>#REF!</v>
      </c>
      <c r="N38" t="e">
        <f>AND(#REF!,"AAAAAHf/rQ0=")</f>
        <v>#REF!</v>
      </c>
      <c r="O38" t="e">
        <f>AND(#REF!,"AAAAAHf/rQ4=")</f>
        <v>#REF!</v>
      </c>
      <c r="P38" t="e">
        <f>AND(#REF!,"AAAAAHf/rQ8=")</f>
        <v>#REF!</v>
      </c>
      <c r="Q38" t="e">
        <f>AND(#REF!,"AAAAAHf/rRA=")</f>
        <v>#REF!</v>
      </c>
      <c r="R38" t="e">
        <f>AND(#REF!,"AAAAAHf/rRE=")</f>
        <v>#REF!</v>
      </c>
      <c r="S38" t="e">
        <f>AND(#REF!,"AAAAAHf/rRI=")</f>
        <v>#REF!</v>
      </c>
      <c r="T38" t="e">
        <f>AND(#REF!,"AAAAAHf/rRM=")</f>
        <v>#REF!</v>
      </c>
      <c r="U38" t="e">
        <f>AND(#REF!,"AAAAAHf/rRQ=")</f>
        <v>#REF!</v>
      </c>
      <c r="V38" t="e">
        <f>AND(#REF!,"AAAAAHf/rRU=")</f>
        <v>#REF!</v>
      </c>
      <c r="W38" t="e">
        <f>AND(#REF!,"AAAAAHf/rRY=")</f>
        <v>#REF!</v>
      </c>
      <c r="X38" t="e">
        <f>IF(#REF!,"AAAAAHf/rRc=",0)</f>
        <v>#REF!</v>
      </c>
      <c r="Y38" t="e">
        <f>AND(#REF!,"AAAAAHf/rRg=")</f>
        <v>#REF!</v>
      </c>
      <c r="Z38" t="e">
        <f>AND(#REF!,"AAAAAHf/rRk=")</f>
        <v>#REF!</v>
      </c>
      <c r="AA38" t="e">
        <f>AND(#REF!,"AAAAAHf/rRo=")</f>
        <v>#REF!</v>
      </c>
      <c r="AB38" t="e">
        <f>AND(#REF!,"AAAAAHf/rRs=")</f>
        <v>#REF!</v>
      </c>
      <c r="AC38" t="e">
        <f>AND(#REF!,"AAAAAHf/rRw=")</f>
        <v>#REF!</v>
      </c>
      <c r="AD38" t="e">
        <f>AND(#REF!,"AAAAAHf/rR0=")</f>
        <v>#REF!</v>
      </c>
      <c r="AE38" t="e">
        <f>AND(#REF!,"AAAAAHf/rR4=")</f>
        <v>#REF!</v>
      </c>
      <c r="AF38" t="e">
        <f>AND(#REF!,"AAAAAHf/rR8=")</f>
        <v>#REF!</v>
      </c>
      <c r="AG38" t="e">
        <f>AND(#REF!,"AAAAAHf/rSA=")</f>
        <v>#REF!</v>
      </c>
      <c r="AH38" t="e">
        <f>AND(#REF!,"AAAAAHf/rSE=")</f>
        <v>#REF!</v>
      </c>
      <c r="AI38" t="e">
        <f>IF(#REF!,"AAAAAHf/rSI=",0)</f>
        <v>#REF!</v>
      </c>
      <c r="AJ38" t="e">
        <f>AND(#REF!,"AAAAAHf/rSM=")</f>
        <v>#REF!</v>
      </c>
      <c r="AK38" t="e">
        <f>AND(#REF!,"AAAAAHf/rSQ=")</f>
        <v>#REF!</v>
      </c>
      <c r="AL38" t="e">
        <f>AND(#REF!,"AAAAAHf/rSU=")</f>
        <v>#REF!</v>
      </c>
      <c r="AM38" t="e">
        <f>AND(#REF!,"AAAAAHf/rSY=")</f>
        <v>#REF!</v>
      </c>
      <c r="AN38" t="e">
        <f>AND(#REF!,"AAAAAHf/rSc=")</f>
        <v>#REF!</v>
      </c>
      <c r="AO38" t="e">
        <f>AND(#REF!,"AAAAAHf/rSg=")</f>
        <v>#REF!</v>
      </c>
      <c r="AP38" t="e">
        <f>AND(#REF!,"AAAAAHf/rSk=")</f>
        <v>#REF!</v>
      </c>
      <c r="AQ38" t="e">
        <f>AND(#REF!,"AAAAAHf/rSo=")</f>
        <v>#REF!</v>
      </c>
      <c r="AR38" t="e">
        <f>AND(#REF!,"AAAAAHf/rSs=")</f>
        <v>#REF!</v>
      </c>
      <c r="AS38" t="e">
        <f>AND(#REF!,"AAAAAHf/rSw=")</f>
        <v>#REF!</v>
      </c>
      <c r="AT38" t="e">
        <f>IF(#REF!,"AAAAAHf/rS0=",0)</f>
        <v>#REF!</v>
      </c>
      <c r="AU38" t="e">
        <f>AND(#REF!,"AAAAAHf/rS4=")</f>
        <v>#REF!</v>
      </c>
      <c r="AV38" t="e">
        <f>AND(#REF!,"AAAAAHf/rS8=")</f>
        <v>#REF!</v>
      </c>
      <c r="AW38" t="e">
        <f>AND(#REF!,"AAAAAHf/rTA=")</f>
        <v>#REF!</v>
      </c>
      <c r="AX38" t="e">
        <f>AND(#REF!,"AAAAAHf/rTE=")</f>
        <v>#REF!</v>
      </c>
      <c r="AY38" t="e">
        <f>AND(#REF!,"AAAAAHf/rTI=")</f>
        <v>#REF!</v>
      </c>
      <c r="AZ38" t="e">
        <f>AND(#REF!,"AAAAAHf/rTM=")</f>
        <v>#REF!</v>
      </c>
      <c r="BA38" t="e">
        <f>AND(#REF!,"AAAAAHf/rTQ=")</f>
        <v>#REF!</v>
      </c>
      <c r="BB38" t="e">
        <f>AND(#REF!,"AAAAAHf/rTU=")</f>
        <v>#REF!</v>
      </c>
      <c r="BC38" t="e">
        <f>AND(#REF!,"AAAAAHf/rTY=")</f>
        <v>#REF!</v>
      </c>
      <c r="BD38" t="e">
        <f>AND(#REF!,"AAAAAHf/rTc=")</f>
        <v>#REF!</v>
      </c>
      <c r="BE38" t="e">
        <f>IF(#REF!,"AAAAAHf/rTg=",0)</f>
        <v>#REF!</v>
      </c>
      <c r="BF38" t="e">
        <f>AND(#REF!,"AAAAAHf/rTk=")</f>
        <v>#REF!</v>
      </c>
      <c r="BG38" t="e">
        <f>AND(#REF!,"AAAAAHf/rTo=")</f>
        <v>#REF!</v>
      </c>
      <c r="BH38" t="e">
        <f>AND(#REF!,"AAAAAHf/rTs=")</f>
        <v>#REF!</v>
      </c>
      <c r="BI38" t="e">
        <f>AND(#REF!,"AAAAAHf/rTw=")</f>
        <v>#REF!</v>
      </c>
      <c r="BJ38" t="e">
        <f>AND(#REF!,"AAAAAHf/rT0=")</f>
        <v>#REF!</v>
      </c>
      <c r="BK38" t="e">
        <f>AND(#REF!,"AAAAAHf/rT4=")</f>
        <v>#REF!</v>
      </c>
      <c r="BL38" t="e">
        <f>AND(#REF!,"AAAAAHf/rT8=")</f>
        <v>#REF!</v>
      </c>
      <c r="BM38" t="e">
        <f>AND(#REF!,"AAAAAHf/rUA=")</f>
        <v>#REF!</v>
      </c>
      <c r="BN38" t="e">
        <f>AND(#REF!,"AAAAAHf/rUE=")</f>
        <v>#REF!</v>
      </c>
      <c r="BO38" t="e">
        <f>AND(#REF!,"AAAAAHf/rUI=")</f>
        <v>#REF!</v>
      </c>
      <c r="BP38" t="e">
        <f>IF(#REF!,"AAAAAHf/rUM=",0)</f>
        <v>#REF!</v>
      </c>
      <c r="BQ38" t="e">
        <f>AND(#REF!,"AAAAAHf/rUQ=")</f>
        <v>#REF!</v>
      </c>
      <c r="BR38" t="e">
        <f>AND(#REF!,"AAAAAHf/rUU=")</f>
        <v>#REF!</v>
      </c>
      <c r="BS38" t="e">
        <f>AND(#REF!,"AAAAAHf/rUY=")</f>
        <v>#REF!</v>
      </c>
      <c r="BT38" t="e">
        <f>AND(#REF!,"AAAAAHf/rUc=")</f>
        <v>#REF!</v>
      </c>
      <c r="BU38" t="e">
        <f>AND(#REF!,"AAAAAHf/rUg=")</f>
        <v>#REF!</v>
      </c>
      <c r="BV38" t="e">
        <f>AND(#REF!,"AAAAAHf/rUk=")</f>
        <v>#REF!</v>
      </c>
      <c r="BW38" t="e">
        <f>AND(#REF!,"AAAAAHf/rUo=")</f>
        <v>#REF!</v>
      </c>
      <c r="BX38" t="e">
        <f>AND(#REF!,"AAAAAHf/rUs=")</f>
        <v>#REF!</v>
      </c>
      <c r="BY38" t="e">
        <f>AND(#REF!,"AAAAAHf/rUw=")</f>
        <v>#REF!</v>
      </c>
      <c r="BZ38" t="e">
        <f>AND(#REF!,"AAAAAHf/rU0=")</f>
        <v>#REF!</v>
      </c>
      <c r="CA38" t="e">
        <f>IF(#REF!,"AAAAAHf/rU4=",0)</f>
        <v>#REF!</v>
      </c>
      <c r="CB38" t="e">
        <f>AND(#REF!,"AAAAAHf/rU8=")</f>
        <v>#REF!</v>
      </c>
      <c r="CC38" t="e">
        <f>AND(#REF!,"AAAAAHf/rVA=")</f>
        <v>#REF!</v>
      </c>
      <c r="CD38" t="e">
        <f>AND(#REF!,"AAAAAHf/rVE=")</f>
        <v>#REF!</v>
      </c>
      <c r="CE38" t="e">
        <f>AND(#REF!,"AAAAAHf/rVI=")</f>
        <v>#REF!</v>
      </c>
      <c r="CF38" t="e">
        <f>AND(#REF!,"AAAAAHf/rVM=")</f>
        <v>#REF!</v>
      </c>
      <c r="CG38" t="e">
        <f>AND(#REF!,"AAAAAHf/rVQ=")</f>
        <v>#REF!</v>
      </c>
      <c r="CH38" t="e">
        <f>AND(#REF!,"AAAAAHf/rVU=")</f>
        <v>#REF!</v>
      </c>
      <c r="CI38" t="e">
        <f>AND(#REF!,"AAAAAHf/rVY=")</f>
        <v>#REF!</v>
      </c>
      <c r="CJ38" t="e">
        <f>AND(#REF!,"AAAAAHf/rVc=")</f>
        <v>#REF!</v>
      </c>
      <c r="CK38" t="e">
        <f>AND(#REF!,"AAAAAHf/rVg=")</f>
        <v>#REF!</v>
      </c>
      <c r="CL38" t="e">
        <f>IF(#REF!,"AAAAAHf/rVk=",0)</f>
        <v>#REF!</v>
      </c>
      <c r="CM38" t="e">
        <f>AND(#REF!,"AAAAAHf/rVo=")</f>
        <v>#REF!</v>
      </c>
      <c r="CN38" t="e">
        <f>AND(#REF!,"AAAAAHf/rVs=")</f>
        <v>#REF!</v>
      </c>
      <c r="CO38" t="e">
        <f>AND(#REF!,"AAAAAHf/rVw=")</f>
        <v>#REF!</v>
      </c>
      <c r="CP38" t="e">
        <f>AND(#REF!,"AAAAAHf/rV0=")</f>
        <v>#REF!</v>
      </c>
      <c r="CQ38" t="e">
        <f>AND(#REF!,"AAAAAHf/rV4=")</f>
        <v>#REF!</v>
      </c>
      <c r="CR38" t="e">
        <f>AND(#REF!,"AAAAAHf/rV8=")</f>
        <v>#REF!</v>
      </c>
      <c r="CS38" t="e">
        <f>AND(#REF!,"AAAAAHf/rWA=")</f>
        <v>#REF!</v>
      </c>
      <c r="CT38" t="e">
        <f>AND(#REF!,"AAAAAHf/rWE=")</f>
        <v>#REF!</v>
      </c>
      <c r="CU38" t="e">
        <f>AND(#REF!,"AAAAAHf/rWI=")</f>
        <v>#REF!</v>
      </c>
      <c r="CV38" t="e">
        <f>AND(#REF!,"AAAAAHf/rWM=")</f>
        <v>#REF!</v>
      </c>
      <c r="CW38" t="e">
        <f>IF(#REF!,"AAAAAHf/rWQ=",0)</f>
        <v>#REF!</v>
      </c>
      <c r="CX38" t="e">
        <f>AND(#REF!,"AAAAAHf/rWU=")</f>
        <v>#REF!</v>
      </c>
      <c r="CY38" t="e">
        <f>AND(#REF!,"AAAAAHf/rWY=")</f>
        <v>#REF!</v>
      </c>
      <c r="CZ38" t="e">
        <f>AND(#REF!,"AAAAAHf/rWc=")</f>
        <v>#REF!</v>
      </c>
      <c r="DA38" t="e">
        <f>AND(#REF!,"AAAAAHf/rWg=")</f>
        <v>#REF!</v>
      </c>
      <c r="DB38" t="e">
        <f>AND(#REF!,"AAAAAHf/rWk=")</f>
        <v>#REF!</v>
      </c>
      <c r="DC38" t="e">
        <f>AND(#REF!,"AAAAAHf/rWo=")</f>
        <v>#REF!</v>
      </c>
      <c r="DD38" t="e">
        <f>AND(#REF!,"AAAAAHf/rWs=")</f>
        <v>#REF!</v>
      </c>
      <c r="DE38" t="e">
        <f>AND(#REF!,"AAAAAHf/rWw=")</f>
        <v>#REF!</v>
      </c>
      <c r="DF38" t="e">
        <f>AND(#REF!,"AAAAAHf/rW0=")</f>
        <v>#REF!</v>
      </c>
      <c r="DG38" t="e">
        <f>AND(#REF!,"AAAAAHf/rW4=")</f>
        <v>#REF!</v>
      </c>
      <c r="DH38" t="e">
        <f>IF(#REF!,"AAAAAHf/rW8=",0)</f>
        <v>#REF!</v>
      </c>
      <c r="DI38" t="e">
        <f>AND(#REF!,"AAAAAHf/rXA=")</f>
        <v>#REF!</v>
      </c>
      <c r="DJ38" t="e">
        <f>AND(#REF!,"AAAAAHf/rXE=")</f>
        <v>#REF!</v>
      </c>
      <c r="DK38" t="e">
        <f>AND(#REF!,"AAAAAHf/rXI=")</f>
        <v>#REF!</v>
      </c>
      <c r="DL38" t="e">
        <f>AND(#REF!,"AAAAAHf/rXM=")</f>
        <v>#REF!</v>
      </c>
      <c r="DM38" t="e">
        <f>AND(#REF!,"AAAAAHf/rXQ=")</f>
        <v>#REF!</v>
      </c>
      <c r="DN38" t="e">
        <f>AND(#REF!,"AAAAAHf/rXU=")</f>
        <v>#REF!</v>
      </c>
      <c r="DO38" t="e">
        <f>AND(#REF!,"AAAAAHf/rXY=")</f>
        <v>#REF!</v>
      </c>
      <c r="DP38" t="e">
        <f>AND(#REF!,"AAAAAHf/rXc=")</f>
        <v>#REF!</v>
      </c>
      <c r="DQ38" t="e">
        <f>AND(#REF!,"AAAAAHf/rXg=")</f>
        <v>#REF!</v>
      </c>
      <c r="DR38" t="e">
        <f>AND(#REF!,"AAAAAHf/rXk=")</f>
        <v>#REF!</v>
      </c>
      <c r="DS38" t="e">
        <f>IF(#REF!,"AAAAAHf/rXo=",0)</f>
        <v>#REF!</v>
      </c>
      <c r="DT38" t="e">
        <f>AND(#REF!,"AAAAAHf/rXs=")</f>
        <v>#REF!</v>
      </c>
      <c r="DU38" t="e">
        <f>AND(#REF!,"AAAAAHf/rXw=")</f>
        <v>#REF!</v>
      </c>
      <c r="DV38" t="e">
        <f>AND(#REF!,"AAAAAHf/rX0=")</f>
        <v>#REF!</v>
      </c>
      <c r="DW38" t="e">
        <f>AND(#REF!,"AAAAAHf/rX4=")</f>
        <v>#REF!</v>
      </c>
      <c r="DX38" t="e">
        <f>AND(#REF!,"AAAAAHf/rX8=")</f>
        <v>#REF!</v>
      </c>
      <c r="DY38" t="e">
        <f>AND(#REF!,"AAAAAHf/rYA=")</f>
        <v>#REF!</v>
      </c>
      <c r="DZ38" t="e">
        <f>AND(#REF!,"AAAAAHf/rYE=")</f>
        <v>#REF!</v>
      </c>
      <c r="EA38" t="e">
        <f>AND(#REF!,"AAAAAHf/rYI=")</f>
        <v>#REF!</v>
      </c>
      <c r="EB38" t="e">
        <f>AND(#REF!,"AAAAAHf/rYM=")</f>
        <v>#REF!</v>
      </c>
      <c r="EC38" t="e">
        <f>AND(#REF!,"AAAAAHf/rYQ=")</f>
        <v>#REF!</v>
      </c>
      <c r="ED38" t="e">
        <f>IF(#REF!,"AAAAAHf/rYU=",0)</f>
        <v>#REF!</v>
      </c>
      <c r="EE38" t="e">
        <f>AND(#REF!,"AAAAAHf/rYY=")</f>
        <v>#REF!</v>
      </c>
      <c r="EF38" t="e">
        <f>AND(#REF!,"AAAAAHf/rYc=")</f>
        <v>#REF!</v>
      </c>
      <c r="EG38" t="e">
        <f>AND(#REF!,"AAAAAHf/rYg=")</f>
        <v>#REF!</v>
      </c>
      <c r="EH38" t="e">
        <f>AND(#REF!,"AAAAAHf/rYk=")</f>
        <v>#REF!</v>
      </c>
      <c r="EI38" t="e">
        <f>AND(#REF!,"AAAAAHf/rYo=")</f>
        <v>#REF!</v>
      </c>
      <c r="EJ38" t="e">
        <f>AND(#REF!,"AAAAAHf/rYs=")</f>
        <v>#REF!</v>
      </c>
      <c r="EK38" t="e">
        <f>AND(#REF!,"AAAAAHf/rYw=")</f>
        <v>#REF!</v>
      </c>
      <c r="EL38" t="e">
        <f>AND(#REF!,"AAAAAHf/rY0=")</f>
        <v>#REF!</v>
      </c>
      <c r="EM38" t="e">
        <f>AND(#REF!,"AAAAAHf/rY4=")</f>
        <v>#REF!</v>
      </c>
      <c r="EN38" t="e">
        <f>AND(#REF!,"AAAAAHf/rY8=")</f>
        <v>#REF!</v>
      </c>
      <c r="EO38" t="e">
        <f>IF(#REF!,"AAAAAHf/rZA=",0)</f>
        <v>#REF!</v>
      </c>
      <c r="EP38" t="e">
        <f>AND(#REF!,"AAAAAHf/rZE=")</f>
        <v>#REF!</v>
      </c>
      <c r="EQ38" t="e">
        <f>AND(#REF!,"AAAAAHf/rZI=")</f>
        <v>#REF!</v>
      </c>
      <c r="ER38" t="e">
        <f>AND(#REF!,"AAAAAHf/rZM=")</f>
        <v>#REF!</v>
      </c>
      <c r="ES38" t="e">
        <f>AND(#REF!,"AAAAAHf/rZQ=")</f>
        <v>#REF!</v>
      </c>
      <c r="ET38" t="e">
        <f>AND(#REF!,"AAAAAHf/rZU=")</f>
        <v>#REF!</v>
      </c>
      <c r="EU38" t="e">
        <f>AND(#REF!,"AAAAAHf/rZY=")</f>
        <v>#REF!</v>
      </c>
      <c r="EV38" t="e">
        <f>IF(#REF!,"AAAAAHf/rZc=",0)</f>
        <v>#REF!</v>
      </c>
      <c r="EW38" t="e">
        <f>AND(#REF!,"AAAAAHf/rZg=")</f>
        <v>#REF!</v>
      </c>
      <c r="EX38" t="e">
        <f>AND(#REF!,"AAAAAHf/rZk=")</f>
        <v>#REF!</v>
      </c>
      <c r="EY38" t="e">
        <f>AND(#REF!,"AAAAAHf/rZo=")</f>
        <v>#REF!</v>
      </c>
      <c r="EZ38" t="e">
        <f>AND(#REF!,"AAAAAHf/rZs=")</f>
        <v>#REF!</v>
      </c>
      <c r="FA38" t="e">
        <f>AND(#REF!,"AAAAAHf/rZw=")</f>
        <v>#REF!</v>
      </c>
      <c r="FB38" t="e">
        <f>AND(#REF!,"AAAAAHf/rZ0=")</f>
        <v>#REF!</v>
      </c>
      <c r="FC38" t="e">
        <f>IF(#REF!,"AAAAAHf/rZ4=",0)</f>
        <v>#REF!</v>
      </c>
      <c r="FD38" t="e">
        <f>AND(#REF!,"AAAAAHf/rZ8=")</f>
        <v>#REF!</v>
      </c>
      <c r="FE38" t="e">
        <f>AND(#REF!,"AAAAAHf/raA=")</f>
        <v>#REF!</v>
      </c>
      <c r="FF38" t="e">
        <f>AND(#REF!,"AAAAAHf/raE=")</f>
        <v>#REF!</v>
      </c>
      <c r="FG38" t="e">
        <f>AND(#REF!,"AAAAAHf/raI=")</f>
        <v>#REF!</v>
      </c>
      <c r="FH38" t="e">
        <f>AND(#REF!,"AAAAAHf/raM=")</f>
        <v>#REF!</v>
      </c>
      <c r="FI38" t="e">
        <f>AND(#REF!,"AAAAAHf/raQ=")</f>
        <v>#REF!</v>
      </c>
      <c r="FJ38" t="e">
        <f>IF(#REF!,"AAAAAHf/raU=",0)</f>
        <v>#REF!</v>
      </c>
      <c r="FK38" t="e">
        <f>AND(#REF!,"AAAAAHf/raY=")</f>
        <v>#REF!</v>
      </c>
      <c r="FL38" t="e">
        <f>AND(#REF!,"AAAAAHf/rac=")</f>
        <v>#REF!</v>
      </c>
      <c r="FM38" t="e">
        <f>AND(#REF!,"AAAAAHf/rag=")</f>
        <v>#REF!</v>
      </c>
      <c r="FN38" t="e">
        <f>AND(#REF!,"AAAAAHf/rak=")</f>
        <v>#REF!</v>
      </c>
      <c r="FO38" t="e">
        <f>AND(#REF!,"AAAAAHf/rao=")</f>
        <v>#REF!</v>
      </c>
      <c r="FP38" t="e">
        <f>AND(#REF!,"AAAAAHf/ras=")</f>
        <v>#REF!</v>
      </c>
      <c r="FQ38" t="e">
        <f>IF(#REF!,"AAAAAHf/raw=",0)</f>
        <v>#REF!</v>
      </c>
      <c r="FR38" t="e">
        <f>IF(#REF!,"AAAAAHf/ra0=",0)</f>
        <v>#REF!</v>
      </c>
      <c r="FS38" t="e">
        <f>IF(#REF!,"AAAAAHf/ra4=",0)</f>
        <v>#REF!</v>
      </c>
      <c r="FT38" t="e">
        <f>IF(#REF!,"AAAAAHf/ra8=",0)</f>
        <v>#REF!</v>
      </c>
      <c r="FU38" t="e">
        <f>IF(#REF!,"AAAAAHf/rbA=",0)</f>
        <v>#REF!</v>
      </c>
      <c r="FV38" t="e">
        <f>IF(#REF!,"AAAAAHf/rbE=",0)</f>
        <v>#REF!</v>
      </c>
      <c r="FW38" t="e">
        <f>IF(#REF!,"AAAAAHf/rbI=",0)</f>
        <v>#REF!</v>
      </c>
      <c r="FX38" t="e">
        <f>IF(#REF!,"AAAAAHf/rbM=",0)</f>
        <v>#REF!</v>
      </c>
      <c r="FY38" t="e">
        <f>IF(#REF!,"AAAAAHf/rbQ=",0)</f>
        <v>#REF!</v>
      </c>
      <c r="FZ38" t="e">
        <f>IF(#REF!,"AAAAAHf/rbU=",0)</f>
        <v>#REF!</v>
      </c>
      <c r="GA38" t="e">
        <f>IF(#REF!,"AAAAAHf/rbY=",0)</f>
        <v>#REF!</v>
      </c>
      <c r="GB38" t="e">
        <f>AND(#REF!,"AAAAAHf/rbc=")</f>
        <v>#REF!</v>
      </c>
      <c r="GC38" t="e">
        <f>AND(#REF!,"AAAAAHf/rbg=")</f>
        <v>#REF!</v>
      </c>
      <c r="GD38" t="e">
        <f>AND(#REF!,"AAAAAHf/rbk=")</f>
        <v>#REF!</v>
      </c>
      <c r="GE38" t="e">
        <f>AND(#REF!,"AAAAAHf/rbo=")</f>
        <v>#REF!</v>
      </c>
      <c r="GF38" t="e">
        <f>AND(#REF!,"AAAAAHf/rbs=")</f>
        <v>#REF!</v>
      </c>
      <c r="GG38" t="e">
        <f>AND(#REF!,"AAAAAHf/rbw=")</f>
        <v>#REF!</v>
      </c>
      <c r="GH38" t="e">
        <f>AND(#REF!,"AAAAAHf/rb0=")</f>
        <v>#REF!</v>
      </c>
      <c r="GI38" t="e">
        <f>AND(#REF!,"AAAAAHf/rb4=")</f>
        <v>#REF!</v>
      </c>
      <c r="GJ38" t="e">
        <f>AND(#REF!,"AAAAAHf/rb8=")</f>
        <v>#REF!</v>
      </c>
      <c r="GK38" t="e">
        <f>AND(#REF!,"AAAAAHf/rcA=")</f>
        <v>#REF!</v>
      </c>
      <c r="GL38" t="e">
        <f>AND(#REF!,"AAAAAHf/rcE=")</f>
        <v>#REF!</v>
      </c>
      <c r="GM38" t="e">
        <f>IF(#REF!,"AAAAAHf/rcI=",0)</f>
        <v>#REF!</v>
      </c>
      <c r="GN38" t="e">
        <f>AND(#REF!,"AAAAAHf/rcM=")</f>
        <v>#REF!</v>
      </c>
      <c r="GO38" t="e">
        <f>AND(#REF!,"AAAAAHf/rcQ=")</f>
        <v>#REF!</v>
      </c>
      <c r="GP38" t="e">
        <f>AND(#REF!,"AAAAAHf/rcU=")</f>
        <v>#REF!</v>
      </c>
      <c r="GQ38" t="e">
        <f>AND(#REF!,"AAAAAHf/rcY=")</f>
        <v>#REF!</v>
      </c>
      <c r="GR38" t="e">
        <f>AND(#REF!,"AAAAAHf/rcc=")</f>
        <v>#REF!</v>
      </c>
      <c r="GS38" t="e">
        <f>AND(#REF!,"AAAAAHf/rcg=")</f>
        <v>#REF!</v>
      </c>
      <c r="GT38" t="e">
        <f>AND(#REF!,"AAAAAHf/rck=")</f>
        <v>#REF!</v>
      </c>
      <c r="GU38" t="e">
        <f>AND(#REF!,"AAAAAHf/rco=")</f>
        <v>#REF!</v>
      </c>
      <c r="GV38" t="e">
        <f>AND(#REF!,"AAAAAHf/rcs=")</f>
        <v>#REF!</v>
      </c>
      <c r="GW38" t="e">
        <f>AND(#REF!,"AAAAAHf/rcw=")</f>
        <v>#REF!</v>
      </c>
      <c r="GX38" t="e">
        <f>AND(#REF!,"AAAAAHf/rc0=")</f>
        <v>#REF!</v>
      </c>
      <c r="GY38" t="e">
        <f>IF(#REF!,"AAAAAHf/rc4=",0)</f>
        <v>#REF!</v>
      </c>
      <c r="GZ38" t="e">
        <f>AND(#REF!,"AAAAAHf/rc8=")</f>
        <v>#REF!</v>
      </c>
      <c r="HA38" t="e">
        <f>AND(#REF!,"AAAAAHf/rdA=")</f>
        <v>#REF!</v>
      </c>
      <c r="HB38" t="e">
        <f>AND(#REF!,"AAAAAHf/rdE=")</f>
        <v>#REF!</v>
      </c>
      <c r="HC38" t="e">
        <f>AND(#REF!,"AAAAAHf/rdI=")</f>
        <v>#REF!</v>
      </c>
      <c r="HD38" t="e">
        <f>AND(#REF!,"AAAAAHf/rdM=")</f>
        <v>#REF!</v>
      </c>
      <c r="HE38" t="e">
        <f>AND(#REF!,"AAAAAHf/rdQ=")</f>
        <v>#REF!</v>
      </c>
      <c r="HF38" t="e">
        <f>AND(#REF!,"AAAAAHf/rdU=")</f>
        <v>#REF!</v>
      </c>
      <c r="HG38" t="e">
        <f>AND(#REF!,"AAAAAHf/rdY=")</f>
        <v>#REF!</v>
      </c>
      <c r="HH38" t="e">
        <f>AND(#REF!,"AAAAAHf/rdc=")</f>
        <v>#REF!</v>
      </c>
      <c r="HI38" t="e">
        <f>AND(#REF!,"AAAAAHf/rdg=")</f>
        <v>#REF!</v>
      </c>
      <c r="HJ38" t="e">
        <f>AND(#REF!,"AAAAAHf/rdk=")</f>
        <v>#REF!</v>
      </c>
      <c r="HK38" t="e">
        <f>IF(#REF!,"AAAAAHf/rdo=",0)</f>
        <v>#REF!</v>
      </c>
      <c r="HL38" t="e">
        <f>AND(#REF!,"AAAAAHf/rds=")</f>
        <v>#REF!</v>
      </c>
      <c r="HM38" t="e">
        <f>AND(#REF!,"AAAAAHf/rdw=")</f>
        <v>#REF!</v>
      </c>
      <c r="HN38" t="e">
        <f>AND(#REF!,"AAAAAHf/rd0=")</f>
        <v>#REF!</v>
      </c>
      <c r="HO38" t="e">
        <f>AND(#REF!,"AAAAAHf/rd4=")</f>
        <v>#REF!</v>
      </c>
      <c r="HP38" t="e">
        <f>AND(#REF!,"AAAAAHf/rd8=")</f>
        <v>#REF!</v>
      </c>
      <c r="HQ38" t="e">
        <f>AND(#REF!,"AAAAAHf/reA=")</f>
        <v>#REF!</v>
      </c>
      <c r="HR38" t="e">
        <f>AND(#REF!,"AAAAAHf/reE=")</f>
        <v>#REF!</v>
      </c>
      <c r="HS38" t="e">
        <f>AND(#REF!,"AAAAAHf/reI=")</f>
        <v>#REF!</v>
      </c>
      <c r="HT38" t="e">
        <f>AND(#REF!,"AAAAAHf/reM=")</f>
        <v>#REF!</v>
      </c>
      <c r="HU38" t="e">
        <f>AND(#REF!,"AAAAAHf/reQ=")</f>
        <v>#REF!</v>
      </c>
      <c r="HV38" t="e">
        <f>AND(#REF!,"AAAAAHf/reU=")</f>
        <v>#REF!</v>
      </c>
      <c r="HW38" t="e">
        <f>IF(#REF!,"AAAAAHf/reY=",0)</f>
        <v>#REF!</v>
      </c>
      <c r="HX38" t="e">
        <f>AND(#REF!,"AAAAAHf/rec=")</f>
        <v>#REF!</v>
      </c>
      <c r="HY38" t="e">
        <f>AND(#REF!,"AAAAAHf/reg=")</f>
        <v>#REF!</v>
      </c>
      <c r="HZ38" t="e">
        <f>AND(#REF!,"AAAAAHf/rek=")</f>
        <v>#REF!</v>
      </c>
      <c r="IA38" t="e">
        <f>AND(#REF!,"AAAAAHf/reo=")</f>
        <v>#REF!</v>
      </c>
      <c r="IB38" t="e">
        <f>AND(#REF!,"AAAAAHf/res=")</f>
        <v>#REF!</v>
      </c>
      <c r="IC38" t="e">
        <f>AND(#REF!,"AAAAAHf/rew=")</f>
        <v>#REF!</v>
      </c>
      <c r="ID38" t="e">
        <f>AND(#REF!,"AAAAAHf/re0=")</f>
        <v>#REF!</v>
      </c>
      <c r="IE38" t="e">
        <f>AND(#REF!,"AAAAAHf/re4=")</f>
        <v>#REF!</v>
      </c>
      <c r="IF38" t="e">
        <f>AND(#REF!,"AAAAAHf/re8=")</f>
        <v>#REF!</v>
      </c>
      <c r="IG38" t="e">
        <f>AND(#REF!,"AAAAAHf/rfA=")</f>
        <v>#REF!</v>
      </c>
      <c r="IH38" t="e">
        <f>AND(#REF!,"AAAAAHf/rfE=")</f>
        <v>#REF!</v>
      </c>
      <c r="II38" t="e">
        <f>IF(#REF!,"AAAAAHf/rfI=",0)</f>
        <v>#REF!</v>
      </c>
      <c r="IJ38" t="e">
        <f>AND(#REF!,"AAAAAHf/rfM=")</f>
        <v>#REF!</v>
      </c>
      <c r="IK38" t="e">
        <f>AND(#REF!,"AAAAAHf/rfQ=")</f>
        <v>#REF!</v>
      </c>
      <c r="IL38" t="e">
        <f>AND(#REF!,"AAAAAHf/rfU=")</f>
        <v>#REF!</v>
      </c>
      <c r="IM38" t="e">
        <f>AND(#REF!,"AAAAAHf/rfY=")</f>
        <v>#REF!</v>
      </c>
      <c r="IN38" t="e">
        <f>AND(#REF!,"AAAAAHf/rfc=")</f>
        <v>#REF!</v>
      </c>
      <c r="IO38" t="e">
        <f>AND(#REF!,"AAAAAHf/rfg=")</f>
        <v>#REF!</v>
      </c>
      <c r="IP38" t="e">
        <f>AND(#REF!,"AAAAAHf/rfk=")</f>
        <v>#REF!</v>
      </c>
      <c r="IQ38" t="e">
        <f>AND(#REF!,"AAAAAHf/rfo=")</f>
        <v>#REF!</v>
      </c>
      <c r="IR38" t="e">
        <f>AND(#REF!,"AAAAAHf/rfs=")</f>
        <v>#REF!</v>
      </c>
      <c r="IS38" t="e">
        <f>AND(#REF!,"AAAAAHf/rfw=")</f>
        <v>#REF!</v>
      </c>
      <c r="IT38" t="e">
        <f>AND(#REF!,"AAAAAHf/rf0=")</f>
        <v>#REF!</v>
      </c>
      <c r="IU38" t="e">
        <f>IF(#REF!,"AAAAAHf/rf4=",0)</f>
        <v>#REF!</v>
      </c>
      <c r="IV38" t="e">
        <f>AND(#REF!,"AAAAAHf/rf8=")</f>
        <v>#REF!</v>
      </c>
    </row>
    <row r="39" spans="1:256">
      <c r="A39" t="e">
        <f>AND(#REF!,"AAAAADsf/wA=")</f>
        <v>#REF!</v>
      </c>
      <c r="B39" t="e">
        <f>AND(#REF!,"AAAAADsf/wE=")</f>
        <v>#REF!</v>
      </c>
      <c r="C39" t="e">
        <f>AND(#REF!,"AAAAADsf/wI=")</f>
        <v>#REF!</v>
      </c>
      <c r="D39" t="e">
        <f>AND(#REF!,"AAAAADsf/wM=")</f>
        <v>#REF!</v>
      </c>
      <c r="E39" t="e">
        <f>AND(#REF!,"AAAAADsf/wQ=")</f>
        <v>#REF!</v>
      </c>
      <c r="F39" t="e">
        <f>AND(#REF!,"AAAAADsf/wU=")</f>
        <v>#REF!</v>
      </c>
      <c r="G39" t="e">
        <f>AND(#REF!,"AAAAADsf/wY=")</f>
        <v>#REF!</v>
      </c>
      <c r="H39" t="e">
        <f>AND(#REF!,"AAAAADsf/wc=")</f>
        <v>#REF!</v>
      </c>
      <c r="I39" t="e">
        <f>AND(#REF!,"AAAAADsf/wg=")</f>
        <v>#REF!</v>
      </c>
      <c r="J39" t="e">
        <f>AND(#REF!,"AAAAADsf/wk=")</f>
        <v>#REF!</v>
      </c>
      <c r="K39" t="e">
        <f>IF(#REF!,"AAAAADsf/wo=",0)</f>
        <v>#REF!</v>
      </c>
      <c r="L39" t="e">
        <f>AND(#REF!,"AAAAADsf/ws=")</f>
        <v>#REF!</v>
      </c>
      <c r="M39" t="e">
        <f>AND(#REF!,"AAAAADsf/ww=")</f>
        <v>#REF!</v>
      </c>
      <c r="N39" t="e">
        <f>AND(#REF!,"AAAAADsf/w0=")</f>
        <v>#REF!</v>
      </c>
      <c r="O39" t="e">
        <f>AND(#REF!,"AAAAADsf/w4=")</f>
        <v>#REF!</v>
      </c>
      <c r="P39" t="e">
        <f>AND(#REF!,"AAAAADsf/w8=")</f>
        <v>#REF!</v>
      </c>
      <c r="Q39" t="e">
        <f>AND(#REF!,"AAAAADsf/xA=")</f>
        <v>#REF!</v>
      </c>
      <c r="R39" t="e">
        <f>AND(#REF!,"AAAAADsf/xE=")</f>
        <v>#REF!</v>
      </c>
      <c r="S39" t="e">
        <f>AND(#REF!,"AAAAADsf/xI=")</f>
        <v>#REF!</v>
      </c>
      <c r="T39" t="e">
        <f>AND(#REF!,"AAAAADsf/xM=")</f>
        <v>#REF!</v>
      </c>
      <c r="U39" t="e">
        <f>AND(#REF!,"AAAAADsf/xQ=")</f>
        <v>#REF!</v>
      </c>
      <c r="V39" t="e">
        <f>AND(#REF!,"AAAAADsf/xU=")</f>
        <v>#REF!</v>
      </c>
      <c r="W39" t="e">
        <f>IF(#REF!,"AAAAADsf/xY=",0)</f>
        <v>#REF!</v>
      </c>
      <c r="X39" t="e">
        <f>AND(#REF!,"AAAAADsf/xc=")</f>
        <v>#REF!</v>
      </c>
      <c r="Y39" t="e">
        <f>AND(#REF!,"AAAAADsf/xg=")</f>
        <v>#REF!</v>
      </c>
      <c r="Z39" t="e">
        <f>AND(#REF!,"AAAAADsf/xk=")</f>
        <v>#REF!</v>
      </c>
      <c r="AA39" t="e">
        <f>AND(#REF!,"AAAAADsf/xo=")</f>
        <v>#REF!</v>
      </c>
      <c r="AB39" t="e">
        <f>AND(#REF!,"AAAAADsf/xs=")</f>
        <v>#REF!</v>
      </c>
      <c r="AC39" t="e">
        <f>AND(#REF!,"AAAAADsf/xw=")</f>
        <v>#REF!</v>
      </c>
      <c r="AD39" t="e">
        <f>AND(#REF!,"AAAAADsf/x0=")</f>
        <v>#REF!</v>
      </c>
      <c r="AE39" t="e">
        <f>AND(#REF!,"AAAAADsf/x4=")</f>
        <v>#REF!</v>
      </c>
      <c r="AF39" t="e">
        <f>AND(#REF!,"AAAAADsf/x8=")</f>
        <v>#REF!</v>
      </c>
      <c r="AG39" t="e">
        <f>AND(#REF!,"AAAAADsf/yA=")</f>
        <v>#REF!</v>
      </c>
      <c r="AH39" t="e">
        <f>AND(#REF!,"AAAAADsf/yE=")</f>
        <v>#REF!</v>
      </c>
      <c r="AI39" t="e">
        <f>IF(#REF!,"AAAAADsf/yI=",0)</f>
        <v>#REF!</v>
      </c>
      <c r="AJ39" t="e">
        <f>AND(#REF!,"AAAAADsf/yM=")</f>
        <v>#REF!</v>
      </c>
      <c r="AK39" t="e">
        <f>AND(#REF!,"AAAAADsf/yQ=")</f>
        <v>#REF!</v>
      </c>
      <c r="AL39" t="e">
        <f>AND(#REF!,"AAAAADsf/yU=")</f>
        <v>#REF!</v>
      </c>
      <c r="AM39" t="e">
        <f>AND(#REF!,"AAAAADsf/yY=")</f>
        <v>#REF!</v>
      </c>
      <c r="AN39" t="e">
        <f>AND(#REF!,"AAAAADsf/yc=")</f>
        <v>#REF!</v>
      </c>
      <c r="AO39" t="e">
        <f>AND(#REF!,"AAAAADsf/yg=")</f>
        <v>#REF!</v>
      </c>
      <c r="AP39" t="e">
        <f>AND(#REF!,"AAAAADsf/yk=")</f>
        <v>#REF!</v>
      </c>
      <c r="AQ39" t="e">
        <f>AND(#REF!,"AAAAADsf/yo=")</f>
        <v>#REF!</v>
      </c>
      <c r="AR39" t="e">
        <f>AND(#REF!,"AAAAADsf/ys=")</f>
        <v>#REF!</v>
      </c>
      <c r="AS39" t="e">
        <f>AND(#REF!,"AAAAADsf/yw=")</f>
        <v>#REF!</v>
      </c>
      <c r="AT39" t="e">
        <f>AND(#REF!,"AAAAADsf/y0=")</f>
        <v>#REF!</v>
      </c>
      <c r="AU39" t="e">
        <f>IF(#REF!,"AAAAADsf/y4=",0)</f>
        <v>#REF!</v>
      </c>
      <c r="AV39" t="e">
        <f>AND(#REF!,"AAAAADsf/y8=")</f>
        <v>#REF!</v>
      </c>
      <c r="AW39" t="e">
        <f>AND(#REF!,"AAAAADsf/zA=")</f>
        <v>#REF!</v>
      </c>
      <c r="AX39" t="e">
        <f>AND(#REF!,"AAAAADsf/zE=")</f>
        <v>#REF!</v>
      </c>
      <c r="AY39" t="e">
        <f>AND(#REF!,"AAAAADsf/zI=")</f>
        <v>#REF!</v>
      </c>
      <c r="AZ39" t="e">
        <f>AND(#REF!,"AAAAADsf/zM=")</f>
        <v>#REF!</v>
      </c>
      <c r="BA39" t="e">
        <f>AND(#REF!,"AAAAADsf/zQ=")</f>
        <v>#REF!</v>
      </c>
      <c r="BB39" t="e">
        <f>AND(#REF!,"AAAAADsf/zU=")</f>
        <v>#REF!</v>
      </c>
      <c r="BC39" t="e">
        <f>AND(#REF!,"AAAAADsf/zY=")</f>
        <v>#REF!</v>
      </c>
      <c r="BD39" t="e">
        <f>AND(#REF!,"AAAAADsf/zc=")</f>
        <v>#REF!</v>
      </c>
      <c r="BE39" t="e">
        <f>AND(#REF!,"AAAAADsf/zg=")</f>
        <v>#REF!</v>
      </c>
      <c r="BF39" t="e">
        <f>AND(#REF!,"AAAAADsf/zk=")</f>
        <v>#REF!</v>
      </c>
      <c r="BG39" t="e">
        <f>IF(#REF!,"AAAAADsf/zo=",0)</f>
        <v>#REF!</v>
      </c>
      <c r="BH39" t="e">
        <f>AND(#REF!,"AAAAADsf/zs=")</f>
        <v>#REF!</v>
      </c>
      <c r="BI39" t="e">
        <f>AND(#REF!,"AAAAADsf/zw=")</f>
        <v>#REF!</v>
      </c>
      <c r="BJ39" t="e">
        <f>AND(#REF!,"AAAAADsf/z0=")</f>
        <v>#REF!</v>
      </c>
      <c r="BK39" t="e">
        <f>AND(#REF!,"AAAAADsf/z4=")</f>
        <v>#REF!</v>
      </c>
      <c r="BL39" t="e">
        <f>AND(#REF!,"AAAAADsf/z8=")</f>
        <v>#REF!</v>
      </c>
      <c r="BM39" t="e">
        <f>AND(#REF!,"AAAAADsf/0A=")</f>
        <v>#REF!</v>
      </c>
      <c r="BN39" t="e">
        <f>AND(#REF!,"AAAAADsf/0E=")</f>
        <v>#REF!</v>
      </c>
      <c r="BO39" t="e">
        <f>AND(#REF!,"AAAAADsf/0I=")</f>
        <v>#REF!</v>
      </c>
      <c r="BP39" t="e">
        <f>AND(#REF!,"AAAAADsf/0M=")</f>
        <v>#REF!</v>
      </c>
      <c r="BQ39" t="e">
        <f>AND(#REF!,"AAAAADsf/0Q=")</f>
        <v>#REF!</v>
      </c>
      <c r="BR39" t="e">
        <f>AND(#REF!,"AAAAADsf/0U=")</f>
        <v>#REF!</v>
      </c>
      <c r="BS39" t="e">
        <f>IF(#REF!,"AAAAADsf/0Y=",0)</f>
        <v>#REF!</v>
      </c>
      <c r="BT39" t="e">
        <f>AND(#REF!,"AAAAADsf/0c=")</f>
        <v>#REF!</v>
      </c>
      <c r="BU39" t="e">
        <f>AND(#REF!,"AAAAADsf/0g=")</f>
        <v>#REF!</v>
      </c>
      <c r="BV39" t="e">
        <f>AND(#REF!,"AAAAADsf/0k=")</f>
        <v>#REF!</v>
      </c>
      <c r="BW39" t="e">
        <f>AND(#REF!,"AAAAADsf/0o=")</f>
        <v>#REF!</v>
      </c>
      <c r="BX39" t="e">
        <f>AND(#REF!,"AAAAADsf/0s=")</f>
        <v>#REF!</v>
      </c>
      <c r="BY39" t="e">
        <f>AND(#REF!,"AAAAADsf/0w=")</f>
        <v>#REF!</v>
      </c>
      <c r="BZ39" t="e">
        <f>AND(#REF!,"AAAAADsf/00=")</f>
        <v>#REF!</v>
      </c>
      <c r="CA39" t="e">
        <f>AND(#REF!,"AAAAADsf/04=")</f>
        <v>#REF!</v>
      </c>
      <c r="CB39" t="e">
        <f>AND(#REF!,"AAAAADsf/08=")</f>
        <v>#REF!</v>
      </c>
      <c r="CC39" t="e">
        <f>AND(#REF!,"AAAAADsf/1A=")</f>
        <v>#REF!</v>
      </c>
      <c r="CD39" t="e">
        <f>AND(#REF!,"AAAAADsf/1E=")</f>
        <v>#REF!</v>
      </c>
      <c r="CE39" t="e">
        <f>IF(#REF!,"AAAAADsf/1I=",0)</f>
        <v>#REF!</v>
      </c>
      <c r="CF39" t="e">
        <f>AND(#REF!,"AAAAADsf/1M=")</f>
        <v>#REF!</v>
      </c>
      <c r="CG39" t="e">
        <f>AND(#REF!,"AAAAADsf/1Q=")</f>
        <v>#REF!</v>
      </c>
      <c r="CH39" t="e">
        <f>AND(#REF!,"AAAAADsf/1U=")</f>
        <v>#REF!</v>
      </c>
      <c r="CI39" t="e">
        <f>AND(#REF!,"AAAAADsf/1Y=")</f>
        <v>#REF!</v>
      </c>
      <c r="CJ39" t="e">
        <f>AND(#REF!,"AAAAADsf/1c=")</f>
        <v>#REF!</v>
      </c>
      <c r="CK39" t="e">
        <f>AND(#REF!,"AAAAADsf/1g=")</f>
        <v>#REF!</v>
      </c>
      <c r="CL39" t="e">
        <f>AND(#REF!,"AAAAADsf/1k=")</f>
        <v>#REF!</v>
      </c>
      <c r="CM39" t="e">
        <f>AND(#REF!,"AAAAADsf/1o=")</f>
        <v>#REF!</v>
      </c>
      <c r="CN39" t="e">
        <f>AND(#REF!,"AAAAADsf/1s=")</f>
        <v>#REF!</v>
      </c>
      <c r="CO39" t="e">
        <f>AND(#REF!,"AAAAADsf/1w=")</f>
        <v>#REF!</v>
      </c>
      <c r="CP39" t="e">
        <f>AND(#REF!,"AAAAADsf/10=")</f>
        <v>#REF!</v>
      </c>
      <c r="CQ39" t="e">
        <f>IF(#REF!,"AAAAADsf/14=",0)</f>
        <v>#REF!</v>
      </c>
      <c r="CR39" t="e">
        <f>AND(#REF!,"AAAAADsf/18=")</f>
        <v>#REF!</v>
      </c>
      <c r="CS39" t="e">
        <f>AND(#REF!,"AAAAADsf/2A=")</f>
        <v>#REF!</v>
      </c>
      <c r="CT39" t="e">
        <f>AND(#REF!,"AAAAADsf/2E=")</f>
        <v>#REF!</v>
      </c>
      <c r="CU39" t="e">
        <f>AND(#REF!,"AAAAADsf/2I=")</f>
        <v>#REF!</v>
      </c>
      <c r="CV39" t="e">
        <f>AND(#REF!,"AAAAADsf/2M=")</f>
        <v>#REF!</v>
      </c>
      <c r="CW39" t="e">
        <f>AND(#REF!,"AAAAADsf/2Q=")</f>
        <v>#REF!</v>
      </c>
      <c r="CX39" t="e">
        <f>AND(#REF!,"AAAAADsf/2U=")</f>
        <v>#REF!</v>
      </c>
      <c r="CY39" t="e">
        <f>AND(#REF!,"AAAAADsf/2Y=")</f>
        <v>#REF!</v>
      </c>
      <c r="CZ39" t="e">
        <f>AND(#REF!,"AAAAADsf/2c=")</f>
        <v>#REF!</v>
      </c>
      <c r="DA39" t="e">
        <f>AND(#REF!,"AAAAADsf/2g=")</f>
        <v>#REF!</v>
      </c>
      <c r="DB39" t="e">
        <f>AND(#REF!,"AAAAADsf/2k=")</f>
        <v>#REF!</v>
      </c>
      <c r="DC39" t="e">
        <f>IF(#REF!,"AAAAADsf/2o=",0)</f>
        <v>#REF!</v>
      </c>
      <c r="DD39" t="e">
        <f>AND(#REF!,"AAAAADsf/2s=")</f>
        <v>#REF!</v>
      </c>
      <c r="DE39" t="e">
        <f>AND(#REF!,"AAAAADsf/2w=")</f>
        <v>#REF!</v>
      </c>
      <c r="DF39" t="e">
        <f>AND(#REF!,"AAAAADsf/20=")</f>
        <v>#REF!</v>
      </c>
      <c r="DG39" t="e">
        <f>AND(#REF!,"AAAAADsf/24=")</f>
        <v>#REF!</v>
      </c>
      <c r="DH39" t="e">
        <f>AND(#REF!,"AAAAADsf/28=")</f>
        <v>#REF!</v>
      </c>
      <c r="DI39" t="e">
        <f>AND(#REF!,"AAAAADsf/3A=")</f>
        <v>#REF!</v>
      </c>
      <c r="DJ39" t="e">
        <f>AND(#REF!,"AAAAADsf/3E=")</f>
        <v>#REF!</v>
      </c>
      <c r="DK39" t="e">
        <f>AND(#REF!,"AAAAADsf/3I=")</f>
        <v>#REF!</v>
      </c>
      <c r="DL39" t="e">
        <f>AND(#REF!,"AAAAADsf/3M=")</f>
        <v>#REF!</v>
      </c>
      <c r="DM39" t="e">
        <f>AND(#REF!,"AAAAADsf/3Q=")</f>
        <v>#REF!</v>
      </c>
      <c r="DN39" t="e">
        <f>AND(#REF!,"AAAAADsf/3U=")</f>
        <v>#REF!</v>
      </c>
      <c r="DO39" t="e">
        <f>IF(#REF!,"AAAAADsf/3Y=",0)</f>
        <v>#REF!</v>
      </c>
      <c r="DP39" t="e">
        <f>AND(#REF!,"AAAAADsf/3c=")</f>
        <v>#REF!</v>
      </c>
      <c r="DQ39" t="e">
        <f>AND(#REF!,"AAAAADsf/3g=")</f>
        <v>#REF!</v>
      </c>
      <c r="DR39" t="e">
        <f>AND(#REF!,"AAAAADsf/3k=")</f>
        <v>#REF!</v>
      </c>
      <c r="DS39" t="e">
        <f>AND(#REF!,"AAAAADsf/3o=")</f>
        <v>#REF!</v>
      </c>
      <c r="DT39" t="e">
        <f>AND(#REF!,"AAAAADsf/3s=")</f>
        <v>#REF!</v>
      </c>
      <c r="DU39" t="e">
        <f>AND(#REF!,"AAAAADsf/3w=")</f>
        <v>#REF!</v>
      </c>
      <c r="DV39" t="e">
        <f>AND(#REF!,"AAAAADsf/30=")</f>
        <v>#REF!</v>
      </c>
      <c r="DW39" t="e">
        <f>AND(#REF!,"AAAAADsf/34=")</f>
        <v>#REF!</v>
      </c>
      <c r="DX39" t="e">
        <f>AND(#REF!,"AAAAADsf/38=")</f>
        <v>#REF!</v>
      </c>
      <c r="DY39" t="e">
        <f>AND(#REF!,"AAAAADsf/4A=")</f>
        <v>#REF!</v>
      </c>
      <c r="DZ39" t="e">
        <f>AND(#REF!,"AAAAADsf/4E=")</f>
        <v>#REF!</v>
      </c>
      <c r="EA39" t="e">
        <f>IF(#REF!,"AAAAADsf/4I=",0)</f>
        <v>#REF!</v>
      </c>
      <c r="EB39" t="e">
        <f>AND(#REF!,"AAAAADsf/4M=")</f>
        <v>#REF!</v>
      </c>
      <c r="EC39" t="e">
        <f>AND(#REF!,"AAAAADsf/4Q=")</f>
        <v>#REF!</v>
      </c>
      <c r="ED39" t="e">
        <f>AND(#REF!,"AAAAADsf/4U=")</f>
        <v>#REF!</v>
      </c>
      <c r="EE39" t="e">
        <f>AND(#REF!,"AAAAADsf/4Y=")</f>
        <v>#REF!</v>
      </c>
      <c r="EF39" t="e">
        <f>AND(#REF!,"AAAAADsf/4c=")</f>
        <v>#REF!</v>
      </c>
      <c r="EG39" t="e">
        <f>AND(#REF!,"AAAAADsf/4g=")</f>
        <v>#REF!</v>
      </c>
      <c r="EH39" t="e">
        <f>AND(#REF!,"AAAAADsf/4k=")</f>
        <v>#REF!</v>
      </c>
      <c r="EI39" t="e">
        <f>AND(#REF!,"AAAAADsf/4o=")</f>
        <v>#REF!</v>
      </c>
      <c r="EJ39" t="e">
        <f>AND(#REF!,"AAAAADsf/4s=")</f>
        <v>#REF!</v>
      </c>
      <c r="EK39" t="e">
        <f>AND(#REF!,"AAAAADsf/4w=")</f>
        <v>#REF!</v>
      </c>
      <c r="EL39" t="e">
        <f>AND(#REF!,"AAAAADsf/40=")</f>
        <v>#REF!</v>
      </c>
      <c r="EM39" t="e">
        <f>IF(#REF!,"AAAAADsf/44=",0)</f>
        <v>#REF!</v>
      </c>
      <c r="EN39" t="e">
        <f>AND(#REF!,"AAAAADsf/48=")</f>
        <v>#REF!</v>
      </c>
      <c r="EO39" t="e">
        <f>AND(#REF!,"AAAAADsf/5A=")</f>
        <v>#REF!</v>
      </c>
      <c r="EP39" t="e">
        <f>AND(#REF!,"AAAAADsf/5E=")</f>
        <v>#REF!</v>
      </c>
      <c r="EQ39" t="e">
        <f>AND(#REF!,"AAAAADsf/5I=")</f>
        <v>#REF!</v>
      </c>
      <c r="ER39" t="e">
        <f>AND(#REF!,"AAAAADsf/5M=")</f>
        <v>#REF!</v>
      </c>
      <c r="ES39" t="e">
        <f>AND(#REF!,"AAAAADsf/5Q=")</f>
        <v>#REF!</v>
      </c>
      <c r="ET39" t="e">
        <f>AND(#REF!,"AAAAADsf/5U=")</f>
        <v>#REF!</v>
      </c>
      <c r="EU39" t="e">
        <f>AND(#REF!,"AAAAADsf/5Y=")</f>
        <v>#REF!</v>
      </c>
      <c r="EV39" t="e">
        <f>AND(#REF!,"AAAAADsf/5c=")</f>
        <v>#REF!</v>
      </c>
      <c r="EW39" t="e">
        <f>AND(#REF!,"AAAAADsf/5g=")</f>
        <v>#REF!</v>
      </c>
      <c r="EX39" t="e">
        <f>AND(#REF!,"AAAAADsf/5k=")</f>
        <v>#REF!</v>
      </c>
      <c r="EY39" t="e">
        <f>IF(#REF!,"AAAAADsf/5o=",0)</f>
        <v>#REF!</v>
      </c>
      <c r="EZ39" t="e">
        <f>AND(#REF!,"AAAAADsf/5s=")</f>
        <v>#REF!</v>
      </c>
      <c r="FA39" t="e">
        <f>AND(#REF!,"AAAAADsf/5w=")</f>
        <v>#REF!</v>
      </c>
      <c r="FB39" t="e">
        <f>AND(#REF!,"AAAAADsf/50=")</f>
        <v>#REF!</v>
      </c>
      <c r="FC39" t="e">
        <f>AND(#REF!,"AAAAADsf/54=")</f>
        <v>#REF!</v>
      </c>
      <c r="FD39" t="e">
        <f>AND(#REF!,"AAAAADsf/58=")</f>
        <v>#REF!</v>
      </c>
      <c r="FE39" t="e">
        <f>AND(#REF!,"AAAAADsf/6A=")</f>
        <v>#REF!</v>
      </c>
      <c r="FF39" t="e">
        <f>AND(#REF!,"AAAAADsf/6E=")</f>
        <v>#REF!</v>
      </c>
      <c r="FG39" t="e">
        <f>AND(#REF!,"AAAAADsf/6I=")</f>
        <v>#REF!</v>
      </c>
      <c r="FH39" t="e">
        <f>AND(#REF!,"AAAAADsf/6M=")</f>
        <v>#REF!</v>
      </c>
      <c r="FI39" t="e">
        <f>AND(#REF!,"AAAAADsf/6Q=")</f>
        <v>#REF!</v>
      </c>
      <c r="FJ39" t="e">
        <f>AND(#REF!,"AAAAADsf/6U=")</f>
        <v>#REF!</v>
      </c>
      <c r="FK39" t="e">
        <f>IF(#REF!,"AAAAADsf/6Y=",0)</f>
        <v>#REF!</v>
      </c>
      <c r="FL39" t="e">
        <f>AND(#REF!,"AAAAADsf/6c=")</f>
        <v>#REF!</v>
      </c>
      <c r="FM39" t="e">
        <f>AND(#REF!,"AAAAADsf/6g=")</f>
        <v>#REF!</v>
      </c>
      <c r="FN39" t="e">
        <f>AND(#REF!,"AAAAADsf/6k=")</f>
        <v>#REF!</v>
      </c>
      <c r="FO39" t="e">
        <f>AND(#REF!,"AAAAADsf/6o=")</f>
        <v>#REF!</v>
      </c>
      <c r="FP39" t="e">
        <f>AND(#REF!,"AAAAADsf/6s=")</f>
        <v>#REF!</v>
      </c>
      <c r="FQ39" t="e">
        <f>AND(#REF!,"AAAAADsf/6w=")</f>
        <v>#REF!</v>
      </c>
      <c r="FR39" t="e">
        <f>AND(#REF!,"AAAAADsf/60=")</f>
        <v>#REF!</v>
      </c>
      <c r="FS39" t="e">
        <f>AND(#REF!,"AAAAADsf/64=")</f>
        <v>#REF!</v>
      </c>
      <c r="FT39" t="e">
        <f>AND(#REF!,"AAAAADsf/68=")</f>
        <v>#REF!</v>
      </c>
      <c r="FU39" t="e">
        <f>AND(#REF!,"AAAAADsf/7A=")</f>
        <v>#REF!</v>
      </c>
      <c r="FV39" t="e">
        <f>AND(#REF!,"AAAAADsf/7E=")</f>
        <v>#REF!</v>
      </c>
      <c r="FW39" t="e">
        <f>IF(#REF!,"AAAAADsf/7I=",0)</f>
        <v>#REF!</v>
      </c>
      <c r="FX39" t="e">
        <f>AND(#REF!,"AAAAADsf/7M=")</f>
        <v>#REF!</v>
      </c>
      <c r="FY39" t="e">
        <f>AND(#REF!,"AAAAADsf/7Q=")</f>
        <v>#REF!</v>
      </c>
      <c r="FZ39" t="e">
        <f>AND(#REF!,"AAAAADsf/7U=")</f>
        <v>#REF!</v>
      </c>
      <c r="GA39" t="e">
        <f>AND(#REF!,"AAAAADsf/7Y=")</f>
        <v>#REF!</v>
      </c>
      <c r="GB39" t="e">
        <f>AND(#REF!,"AAAAADsf/7c=")</f>
        <v>#REF!</v>
      </c>
      <c r="GC39" t="e">
        <f>AND(#REF!,"AAAAADsf/7g=")</f>
        <v>#REF!</v>
      </c>
      <c r="GD39" t="e">
        <f>AND(#REF!,"AAAAADsf/7k=")</f>
        <v>#REF!</v>
      </c>
      <c r="GE39" t="e">
        <f>AND(#REF!,"AAAAADsf/7o=")</f>
        <v>#REF!</v>
      </c>
      <c r="GF39" t="e">
        <f>AND(#REF!,"AAAAADsf/7s=")</f>
        <v>#REF!</v>
      </c>
      <c r="GG39" t="e">
        <f>AND(#REF!,"AAAAADsf/7w=")</f>
        <v>#REF!</v>
      </c>
      <c r="GH39" t="e">
        <f>AND(#REF!,"AAAAADsf/70=")</f>
        <v>#REF!</v>
      </c>
      <c r="GI39" t="e">
        <f>IF(#REF!,"AAAAADsf/74=",0)</f>
        <v>#REF!</v>
      </c>
      <c r="GJ39" t="e">
        <f>AND(#REF!,"AAAAADsf/78=")</f>
        <v>#REF!</v>
      </c>
      <c r="GK39" t="e">
        <f>AND(#REF!,"AAAAADsf/8A=")</f>
        <v>#REF!</v>
      </c>
      <c r="GL39" t="e">
        <f>AND(#REF!,"AAAAADsf/8E=")</f>
        <v>#REF!</v>
      </c>
      <c r="GM39" t="e">
        <f>AND(#REF!,"AAAAADsf/8I=")</f>
        <v>#REF!</v>
      </c>
      <c r="GN39" t="e">
        <f>AND(#REF!,"AAAAADsf/8M=")</f>
        <v>#REF!</v>
      </c>
      <c r="GO39" t="e">
        <f>AND(#REF!,"AAAAADsf/8Q=")</f>
        <v>#REF!</v>
      </c>
      <c r="GP39" t="e">
        <f>AND(#REF!,"AAAAADsf/8U=")</f>
        <v>#REF!</v>
      </c>
      <c r="GQ39" t="e">
        <f>AND(#REF!,"AAAAADsf/8Y=")</f>
        <v>#REF!</v>
      </c>
      <c r="GR39" t="e">
        <f>AND(#REF!,"AAAAADsf/8c=")</f>
        <v>#REF!</v>
      </c>
      <c r="GS39" t="e">
        <f>AND(#REF!,"AAAAADsf/8g=")</f>
        <v>#REF!</v>
      </c>
      <c r="GT39" t="e">
        <f>AND(#REF!,"AAAAADsf/8k=")</f>
        <v>#REF!</v>
      </c>
      <c r="GU39" t="e">
        <f>IF(#REF!,"AAAAADsf/8o=",0)</f>
        <v>#REF!</v>
      </c>
      <c r="GV39" t="e">
        <f>AND(#REF!,"AAAAADsf/8s=")</f>
        <v>#REF!</v>
      </c>
      <c r="GW39" t="e">
        <f>AND(#REF!,"AAAAADsf/8w=")</f>
        <v>#REF!</v>
      </c>
      <c r="GX39" t="e">
        <f>AND(#REF!,"AAAAADsf/80=")</f>
        <v>#REF!</v>
      </c>
      <c r="GY39" t="e">
        <f>AND(#REF!,"AAAAADsf/84=")</f>
        <v>#REF!</v>
      </c>
      <c r="GZ39" t="e">
        <f>AND(#REF!,"AAAAADsf/88=")</f>
        <v>#REF!</v>
      </c>
      <c r="HA39" t="e">
        <f>AND(#REF!,"AAAAADsf/9A=")</f>
        <v>#REF!</v>
      </c>
      <c r="HB39" t="e">
        <f>AND(#REF!,"AAAAADsf/9E=")</f>
        <v>#REF!</v>
      </c>
      <c r="HC39" t="e">
        <f>AND(#REF!,"AAAAADsf/9I=")</f>
        <v>#REF!</v>
      </c>
      <c r="HD39" t="e">
        <f>AND(#REF!,"AAAAADsf/9M=")</f>
        <v>#REF!</v>
      </c>
      <c r="HE39" t="e">
        <f>AND(#REF!,"AAAAADsf/9Q=")</f>
        <v>#REF!</v>
      </c>
      <c r="HF39" t="e">
        <f>AND(#REF!,"AAAAADsf/9U=")</f>
        <v>#REF!</v>
      </c>
      <c r="HG39" t="e">
        <f>IF(#REF!,"AAAAADsf/9Y=",0)</f>
        <v>#REF!</v>
      </c>
      <c r="HH39" t="e">
        <f>AND(#REF!,"AAAAADsf/9c=")</f>
        <v>#REF!</v>
      </c>
      <c r="HI39" t="e">
        <f>AND(#REF!,"AAAAADsf/9g=")</f>
        <v>#REF!</v>
      </c>
      <c r="HJ39" t="e">
        <f>AND(#REF!,"AAAAADsf/9k=")</f>
        <v>#REF!</v>
      </c>
      <c r="HK39" t="e">
        <f>AND(#REF!,"AAAAADsf/9o=")</f>
        <v>#REF!</v>
      </c>
      <c r="HL39" t="e">
        <f>AND(#REF!,"AAAAADsf/9s=")</f>
        <v>#REF!</v>
      </c>
      <c r="HM39" t="e">
        <f>AND(#REF!,"AAAAADsf/9w=")</f>
        <v>#REF!</v>
      </c>
      <c r="HN39" t="e">
        <f>AND(#REF!,"AAAAADsf/90=")</f>
        <v>#REF!</v>
      </c>
      <c r="HO39" t="e">
        <f>AND(#REF!,"AAAAADsf/94=")</f>
        <v>#REF!</v>
      </c>
      <c r="HP39" t="e">
        <f>AND(#REF!,"AAAAADsf/98=")</f>
        <v>#REF!</v>
      </c>
      <c r="HQ39" t="e">
        <f>AND(#REF!,"AAAAADsf/+A=")</f>
        <v>#REF!</v>
      </c>
      <c r="HR39" t="e">
        <f>AND(#REF!,"AAAAADsf/+E=")</f>
        <v>#REF!</v>
      </c>
      <c r="HS39" t="e">
        <f>IF(#REF!,"AAAAADsf/+I=",0)</f>
        <v>#REF!</v>
      </c>
      <c r="HT39" t="e">
        <f>AND(#REF!,"AAAAADsf/+M=")</f>
        <v>#REF!</v>
      </c>
      <c r="HU39" t="e">
        <f>AND(#REF!,"AAAAADsf/+Q=")</f>
        <v>#REF!</v>
      </c>
      <c r="HV39" t="e">
        <f>AND(#REF!,"AAAAADsf/+U=")</f>
        <v>#REF!</v>
      </c>
      <c r="HW39" t="e">
        <f>AND(#REF!,"AAAAADsf/+Y=")</f>
        <v>#REF!</v>
      </c>
      <c r="HX39" t="e">
        <f>AND(#REF!,"AAAAADsf/+c=")</f>
        <v>#REF!</v>
      </c>
      <c r="HY39" t="e">
        <f>AND(#REF!,"AAAAADsf/+g=")</f>
        <v>#REF!</v>
      </c>
      <c r="HZ39" t="e">
        <f>AND(#REF!,"AAAAADsf/+k=")</f>
        <v>#REF!</v>
      </c>
      <c r="IA39" t="e">
        <f>AND(#REF!,"AAAAADsf/+o=")</f>
        <v>#REF!</v>
      </c>
      <c r="IB39" t="e">
        <f>AND(#REF!,"AAAAADsf/+s=")</f>
        <v>#REF!</v>
      </c>
      <c r="IC39" t="e">
        <f>AND(#REF!,"AAAAADsf/+w=")</f>
        <v>#REF!</v>
      </c>
      <c r="ID39" t="e">
        <f>AND(#REF!,"AAAAADsf/+0=")</f>
        <v>#REF!</v>
      </c>
      <c r="IE39" t="e">
        <f>IF(#REF!,"AAAAADsf/+4=",0)</f>
        <v>#REF!</v>
      </c>
      <c r="IF39" t="e">
        <f>AND(#REF!,"AAAAADsf/+8=")</f>
        <v>#REF!</v>
      </c>
      <c r="IG39" t="e">
        <f>AND(#REF!,"AAAAADsf//A=")</f>
        <v>#REF!</v>
      </c>
      <c r="IH39" t="e">
        <f>AND(#REF!,"AAAAADsf//E=")</f>
        <v>#REF!</v>
      </c>
      <c r="II39" t="e">
        <f>AND(#REF!,"AAAAADsf//I=")</f>
        <v>#REF!</v>
      </c>
      <c r="IJ39" t="e">
        <f>AND(#REF!,"AAAAADsf//M=")</f>
        <v>#REF!</v>
      </c>
      <c r="IK39" t="e">
        <f>AND(#REF!,"AAAAADsf//Q=")</f>
        <v>#REF!</v>
      </c>
      <c r="IL39" t="e">
        <f>IF(#REF!,"AAAAADsf//U=",0)</f>
        <v>#REF!</v>
      </c>
      <c r="IM39" t="e">
        <f>AND(#REF!,"AAAAADsf//Y=")</f>
        <v>#REF!</v>
      </c>
      <c r="IN39" t="e">
        <f>AND(#REF!,"AAAAADsf//c=")</f>
        <v>#REF!</v>
      </c>
      <c r="IO39" t="e">
        <f>AND(#REF!,"AAAAADsf//g=")</f>
        <v>#REF!</v>
      </c>
      <c r="IP39" t="e">
        <f>AND(#REF!,"AAAAADsf//k=")</f>
        <v>#REF!</v>
      </c>
      <c r="IQ39" t="e">
        <f>AND(#REF!,"AAAAADsf//o=")</f>
        <v>#REF!</v>
      </c>
      <c r="IR39" t="e">
        <f>AND(#REF!,"AAAAADsf//s=")</f>
        <v>#REF!</v>
      </c>
      <c r="IS39" t="e">
        <f>IF(#REF!,"AAAAADsf//w=",0)</f>
        <v>#REF!</v>
      </c>
      <c r="IT39" t="e">
        <f>AND(#REF!,"AAAAADsf//0=")</f>
        <v>#REF!</v>
      </c>
      <c r="IU39" t="e">
        <f>AND(#REF!,"AAAAADsf//4=")</f>
        <v>#REF!</v>
      </c>
      <c r="IV39" t="e">
        <f>AND(#REF!,"AAAAADsf//8=")</f>
        <v>#REF!</v>
      </c>
    </row>
    <row r="40" spans="1:256">
      <c r="A40" t="e">
        <f>AND(#REF!,"AAAAAE+/nwA=")</f>
        <v>#REF!</v>
      </c>
      <c r="B40" t="e">
        <f>AND(#REF!,"AAAAAE+/nwE=")</f>
        <v>#REF!</v>
      </c>
      <c r="C40" t="e">
        <f>AND(#REF!,"AAAAAE+/nwI=")</f>
        <v>#REF!</v>
      </c>
      <c r="D40" t="e">
        <f>IF(#REF!,"AAAAAE+/nwM=",0)</f>
        <v>#REF!</v>
      </c>
      <c r="E40" t="e">
        <f>AND(#REF!,"AAAAAE+/nwQ=")</f>
        <v>#REF!</v>
      </c>
      <c r="F40" t="e">
        <f>AND(#REF!,"AAAAAE+/nwU=")</f>
        <v>#REF!</v>
      </c>
      <c r="G40" t="e">
        <f>AND(#REF!,"AAAAAE+/nwY=")</f>
        <v>#REF!</v>
      </c>
      <c r="H40" t="e">
        <f>AND(#REF!,"AAAAAE+/nwc=")</f>
        <v>#REF!</v>
      </c>
      <c r="I40" t="e">
        <f>AND(#REF!,"AAAAAE+/nwg=")</f>
        <v>#REF!</v>
      </c>
      <c r="J40" t="e">
        <f>AND(#REF!,"AAAAAE+/nwk=")</f>
        <v>#REF!</v>
      </c>
      <c r="K40" t="e">
        <f>IF(#REF!,"AAAAAE+/nwo=",0)</f>
        <v>#REF!</v>
      </c>
      <c r="L40" t="e">
        <f>IF(#REF!,"AAAAAE+/nws=",0)</f>
        <v>#REF!</v>
      </c>
      <c r="M40" t="e">
        <f>IF(#REF!,"AAAAAE+/nww=",0)</f>
        <v>#REF!</v>
      </c>
      <c r="N40" t="e">
        <f>IF(#REF!,"AAAAAE+/nw0=",0)</f>
        <v>#REF!</v>
      </c>
      <c r="O40" t="e">
        <f>IF(#REF!,"AAAAAE+/nw4=",0)</f>
        <v>#REF!</v>
      </c>
      <c r="P40" t="e">
        <f>IF(#REF!,"AAAAAE+/nw8=",0)</f>
        <v>#REF!</v>
      </c>
      <c r="Q40" t="e">
        <f>IF(#REF!,"AAAAAE+/nxA=",0)</f>
        <v>#REF!</v>
      </c>
      <c r="R40" t="e">
        <f>IF(#REF!,"AAAAAE+/nxE=",0)</f>
        <v>#REF!</v>
      </c>
      <c r="S40" t="e">
        <f>IF(#REF!,"AAAAAE+/nxI=",0)</f>
        <v>#REF!</v>
      </c>
      <c r="T40" t="e">
        <f>IF(#REF!,"AAAAAE+/nxM=",0)</f>
        <v>#REF!</v>
      </c>
      <c r="U40" t="e">
        <f>IF(#REF!,"AAAAAE+/nxQ=",0)</f>
        <v>#REF!</v>
      </c>
      <c r="V40">
        <f>IF(REKAPITULACIJA!1:1,"AAAAAE+/nxU=",0)</f>
        <v>0</v>
      </c>
      <c r="W40" t="e">
        <f>AND(REKAPITULACIJA!A1,"AAAAAE+/nxY=")</f>
        <v>#VALUE!</v>
      </c>
      <c r="X40" t="e">
        <f>AND(REKAPITULACIJA!B1,"AAAAAE+/nxc=")</f>
        <v>#VALUE!</v>
      </c>
      <c r="Y40" t="e">
        <f>AND(REKAPITULACIJA!C1,"AAAAAE+/nxg=")</f>
        <v>#VALUE!</v>
      </c>
      <c r="Z40">
        <f>IF(REKAPITULACIJA!2:2,"AAAAAE+/nxk=",0)</f>
        <v>0</v>
      </c>
      <c r="AA40" t="e">
        <f>AND(REKAPITULACIJA!A2,"AAAAAE+/nxo=")</f>
        <v>#VALUE!</v>
      </c>
      <c r="AB40" t="e">
        <f>AND(REKAPITULACIJA!B2,"AAAAAE+/nxs=")</f>
        <v>#VALUE!</v>
      </c>
      <c r="AC40" t="e">
        <f>AND(REKAPITULACIJA!C2,"AAAAAE+/nxw=")</f>
        <v>#VALUE!</v>
      </c>
      <c r="AD40">
        <f>IF(REKAPITULACIJA!3:3,"AAAAAE+/nx0=",0)</f>
        <v>0</v>
      </c>
      <c r="AE40" t="e">
        <f>AND(REKAPITULACIJA!A3,"AAAAAE+/nx4=")</f>
        <v>#VALUE!</v>
      </c>
      <c r="AF40" t="e">
        <f>AND(REKAPITULACIJA!B3,"AAAAAE+/nx8=")</f>
        <v>#VALUE!</v>
      </c>
      <c r="AG40" t="e">
        <f>AND(REKAPITULACIJA!C3,"AAAAAE+/nyA=")</f>
        <v>#VALUE!</v>
      </c>
      <c r="AH40" t="e">
        <f>IF(REKAPITULACIJA!#REF!,"AAAAAE+/nyE=",0)</f>
        <v>#REF!</v>
      </c>
      <c r="AI40" t="e">
        <f>AND(REKAPITULACIJA!#REF!,"AAAAAE+/nyI=")</f>
        <v>#REF!</v>
      </c>
      <c r="AJ40" t="e">
        <f>AND(REKAPITULACIJA!#REF!,"AAAAAE+/nyM=")</f>
        <v>#REF!</v>
      </c>
      <c r="AK40" t="e">
        <f>AND(REKAPITULACIJA!#REF!,"AAAAAE+/nyQ=")</f>
        <v>#REF!</v>
      </c>
      <c r="AL40" t="e">
        <f>IF(REKAPITULACIJA!#REF!,"AAAAAE+/nyU=",0)</f>
        <v>#REF!</v>
      </c>
      <c r="AM40" t="e">
        <f>AND(REKAPITULACIJA!#REF!,"AAAAAE+/nyY=")</f>
        <v>#REF!</v>
      </c>
      <c r="AN40" t="e">
        <f>AND(REKAPITULACIJA!#REF!,"AAAAAE+/nyc=")</f>
        <v>#REF!</v>
      </c>
      <c r="AO40" t="e">
        <f>AND(REKAPITULACIJA!#REF!,"AAAAAE+/nyg=")</f>
        <v>#REF!</v>
      </c>
      <c r="AP40" t="e">
        <f>IF(REKAPITULACIJA!#REF!,"AAAAAE+/nyk=",0)</f>
        <v>#REF!</v>
      </c>
      <c r="AQ40" t="e">
        <f>AND(REKAPITULACIJA!#REF!,"AAAAAE+/nyo=")</f>
        <v>#REF!</v>
      </c>
      <c r="AR40" t="e">
        <f>AND(REKAPITULACIJA!#REF!,"AAAAAE+/nys=")</f>
        <v>#REF!</v>
      </c>
      <c r="AS40" t="e">
        <f>AND(REKAPITULACIJA!#REF!,"AAAAAE+/nyw=")</f>
        <v>#REF!</v>
      </c>
      <c r="AT40" t="e">
        <f>IF(REKAPITULACIJA!#REF!,"AAAAAE+/ny0=",0)</f>
        <v>#REF!</v>
      </c>
      <c r="AU40" t="e">
        <f>AND(REKAPITULACIJA!#REF!,"AAAAAE+/ny4=")</f>
        <v>#REF!</v>
      </c>
      <c r="AV40" t="e">
        <f>AND(REKAPITULACIJA!#REF!,"AAAAAE+/ny8=")</f>
        <v>#REF!</v>
      </c>
      <c r="AW40" t="e">
        <f>AND(REKAPITULACIJA!#REF!,"AAAAAE+/nzA=")</f>
        <v>#REF!</v>
      </c>
      <c r="AX40" t="e">
        <f>IF(REKAPITULACIJA!#REF!,"AAAAAE+/nzE=",0)</f>
        <v>#REF!</v>
      </c>
      <c r="AY40" t="e">
        <f>AND(REKAPITULACIJA!#REF!,"AAAAAE+/nzI=")</f>
        <v>#REF!</v>
      </c>
      <c r="AZ40" t="e">
        <f>AND(REKAPITULACIJA!#REF!,"AAAAAE+/nzM=")</f>
        <v>#REF!</v>
      </c>
      <c r="BA40" t="e">
        <f>AND(REKAPITULACIJA!#REF!,"AAAAAE+/nzQ=")</f>
        <v>#REF!</v>
      </c>
      <c r="BB40" t="e">
        <f>IF(REKAPITULACIJA!#REF!,"AAAAAE+/nzU=",0)</f>
        <v>#REF!</v>
      </c>
      <c r="BC40" t="e">
        <f>AND(REKAPITULACIJA!#REF!,"AAAAAE+/nzY=")</f>
        <v>#REF!</v>
      </c>
      <c r="BD40" t="e">
        <f>AND(REKAPITULACIJA!#REF!,"AAAAAE+/nzc=")</f>
        <v>#REF!</v>
      </c>
      <c r="BE40" t="e">
        <f>AND(REKAPITULACIJA!#REF!,"AAAAAE+/nzg=")</f>
        <v>#REF!</v>
      </c>
      <c r="BF40" t="e">
        <f>IF(REKAPITULACIJA!#REF!,"AAAAAE+/nzk=",0)</f>
        <v>#REF!</v>
      </c>
      <c r="BG40" t="e">
        <f>AND(REKAPITULACIJA!#REF!,"AAAAAE+/nzo=")</f>
        <v>#REF!</v>
      </c>
      <c r="BH40" t="e">
        <f>AND(REKAPITULACIJA!#REF!,"AAAAAE+/nzs=")</f>
        <v>#REF!</v>
      </c>
      <c r="BI40" t="e">
        <f>AND(REKAPITULACIJA!#REF!,"AAAAAE+/nzw=")</f>
        <v>#REF!</v>
      </c>
      <c r="BJ40">
        <f>IF(REKAPITULACIJA!5:5,"AAAAAE+/nz0=",0)</f>
        <v>0</v>
      </c>
      <c r="BK40" t="e">
        <f>AND(REKAPITULACIJA!A5,"AAAAAE+/nz4=")</f>
        <v>#VALUE!</v>
      </c>
      <c r="BL40" t="e">
        <f>AND(REKAPITULACIJA!B5,"AAAAAE+/nz8=")</f>
        <v>#VALUE!</v>
      </c>
      <c r="BM40" t="e">
        <f>AND(REKAPITULACIJA!C5,"AAAAAE+/n0A=")</f>
        <v>#VALUE!</v>
      </c>
      <c r="BN40">
        <f>IF(REKAPITULACIJA!6:6,"AAAAAE+/n0E=",0)</f>
        <v>0</v>
      </c>
      <c r="BO40" t="e">
        <f>AND(REKAPITULACIJA!A6,"AAAAAE+/n0I=")</f>
        <v>#VALUE!</v>
      </c>
      <c r="BP40" t="e">
        <f>AND(REKAPITULACIJA!B6,"AAAAAE+/n0M=")</f>
        <v>#VALUE!</v>
      </c>
      <c r="BQ40" t="e">
        <f>AND(REKAPITULACIJA!C6,"AAAAAE+/n0Q=")</f>
        <v>#VALUE!</v>
      </c>
      <c r="BR40">
        <f>IF(REKAPITULACIJA!A:A,"AAAAAE+/n0U=",0)</f>
        <v>0</v>
      </c>
      <c r="BS40">
        <f>IF(REKAPITULACIJA!B:B,"AAAAAE+/n0Y=",0)</f>
        <v>0</v>
      </c>
      <c r="BT40">
        <f>IF(REKAPITULACIJA!C:C,"AAAAAE+/n0c=",0)</f>
        <v>0</v>
      </c>
      <c r="BU40" t="s">
        <v>40</v>
      </c>
      <c r="BV40" s="78" t="s">
        <v>41</v>
      </c>
      <c r="BW40" s="79" t="s">
        <v>42</v>
      </c>
      <c r="BX40" s="80" t="s">
        <v>43</v>
      </c>
      <c r="BY40" t="e">
        <f>IF("N",Naslovnica!_xlnm.Print_Area,"AAAAAE+/n0w=")</f>
        <v>#VALUE!</v>
      </c>
    </row>
  </sheetData>
  <pageMargins left="0.7" right="0.7" top="0.75" bottom="0.75" header="0.3" footer="0.3"/>
  <customProperties>
    <customPr name="DVSECTIONI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Naslovnica</vt:lpstr>
      <vt:lpstr>OU</vt:lpstr>
      <vt:lpstr>GR_HL</vt:lpstr>
      <vt:lpstr>SOLAR</vt:lpstr>
      <vt:lpstr>REKAPITULACIJA</vt:lpstr>
      <vt:lpstr>GR_HL!Print_Area</vt:lpstr>
      <vt:lpstr>Naslovnica!Print_Area</vt:lpstr>
    </vt:vector>
  </TitlesOfParts>
  <Company>3K, d.o.o. Zagreb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Dragan Petkovic</dc:creator>
  <cp:lastModifiedBy>ITRS-BR</cp:lastModifiedBy>
  <cp:lastPrinted>2019-04-15T08:42:23Z</cp:lastPrinted>
  <dcterms:created xsi:type="dcterms:W3CDTF">2000-09-19T12:39:10Z</dcterms:created>
  <dcterms:modified xsi:type="dcterms:W3CDTF">2019-05-14T08:23:10Z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oogle.Documents.Tracking">
    <vt:lpwstr>true</vt:lpwstr>
  </property>
  <property fmtid="{D5CDD505-2E9C-101B-9397-08002B2CF9AE}" pid="3" name="Google.Documents.DocumentId">
    <vt:lpwstr>1USyAYAwEEM7pGVeLSHab58OHV9tmrXeRYvs41ktXTPc</vt:lpwstr>
  </property>
  <property fmtid="{D5CDD505-2E9C-101B-9397-08002B2CF9AE}" pid="4" name="Google.Documents.RevisionId">
    <vt:lpwstr>04180046834830241399</vt:lpwstr>
  </property>
  <property fmtid="{D5CDD505-2E9C-101B-9397-08002B2CF9AE}" pid="5" name="Google.Documents.PluginVersion">
    <vt:lpwstr>2.0.2662.553</vt:lpwstr>
  </property>
  <property fmtid="{D5CDD505-2E9C-101B-9397-08002B2CF9AE}" pid="6" name="Google.Documents.MergeIncapabilityFlags">
    <vt:i4>0</vt:i4>
  </property>
</Properties>
</file>